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Y:\INTERNO\SITO 2021\File excel\aggiornamenti FY 2023\"/>
    </mc:Choice>
  </mc:AlternateContent>
  <xr:revisionPtr revIDLastSave="0" documentId="13_ncr:1_{7F385D71-8F93-450F-800B-4EB72A365EDA}" xr6:coauthVersionLast="47" xr6:coauthVersionMax="47" xr10:uidLastSave="{00000000-0000-0000-0000-000000000000}"/>
  <bookViews>
    <workbookView xWindow="-120" yWindow="-120" windowWidth="29040" windowHeight="15840" tabRatio="917" activeTab="7" xr2:uid="{00000000-000D-0000-FFFF-FFFF00000000}"/>
  </bookViews>
  <sheets>
    <sheet name="FY P&amp;L" sheetId="2" r:id="rId1"/>
    <sheet name="H1 P&amp;L" sheetId="9" r:id="rId2"/>
    <sheet name="Quarterly trading updates" sheetId="14" r:id="rId3"/>
    <sheet name="FY Balance Sheet" sheetId="3" r:id="rId4"/>
    <sheet name="H1 Balance Sheet" sheetId="11" r:id="rId5"/>
    <sheet name="FY Cash Flow" sheetId="5" r:id="rId6"/>
    <sheet name="H1 Cash Flow " sheetId="13" r:id="rId7"/>
    <sheet name="N° Employees" sheetId="7" r:id="rId8"/>
    <sheet name="IFRIC SaaS Agenda" sheetId="15" r:id="rId9"/>
  </sheets>
  <externalReferences>
    <externalReference r:id="rId10"/>
  </externalReferences>
  <definedNames>
    <definedName name="_Hlk78191501" localSheetId="1">'H1 P&amp;L'!$B$70</definedName>
    <definedName name="_xlnm.Print_Area" localSheetId="2">'Quarterly trading updates'!$A$1:$CY$90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6" i="7"/>
  <c r="C5" i="7"/>
  <c r="C7" i="7" s="1"/>
  <c r="C62" i="5"/>
  <c r="C54" i="5"/>
  <c r="C34" i="5"/>
  <c r="C45" i="5" s="1"/>
  <c r="C17" i="5"/>
  <c r="C9" i="5"/>
  <c r="C7" i="5"/>
  <c r="C12" i="5" s="1"/>
  <c r="C82" i="3"/>
  <c r="C15" i="3" s="1"/>
  <c r="C72" i="3"/>
  <c r="C74" i="3" s="1"/>
  <c r="C69" i="3"/>
  <c r="C61" i="3"/>
  <c r="C43" i="3"/>
  <c r="C31" i="3"/>
  <c r="C47" i="3" s="1"/>
  <c r="C14" i="3"/>
  <c r="C10" i="3"/>
  <c r="C7" i="3"/>
  <c r="C6" i="3"/>
  <c r="C5" i="3"/>
  <c r="D9" i="2"/>
  <c r="C61" i="2"/>
  <c r="C59" i="2"/>
  <c r="C57" i="2"/>
  <c r="C55" i="2"/>
  <c r="C42" i="2"/>
  <c r="C47" i="2" s="1"/>
  <c r="C33" i="2"/>
  <c r="C29" i="2"/>
  <c r="C24" i="2"/>
  <c r="C22" i="2"/>
  <c r="C19" i="2"/>
  <c r="C14" i="2"/>
  <c r="C12" i="2"/>
  <c r="C9" i="2"/>
  <c r="C7" i="2"/>
  <c r="C12" i="13"/>
  <c r="D12" i="13"/>
  <c r="C8" i="13"/>
  <c r="C7" i="13"/>
  <c r="C68" i="13"/>
  <c r="C63" i="13"/>
  <c r="C61" i="13"/>
  <c r="C53" i="13"/>
  <c r="C43" i="13"/>
  <c r="C32" i="13"/>
  <c r="C89" i="11"/>
  <c r="C87" i="11"/>
  <c r="C83" i="11"/>
  <c r="C75" i="11"/>
  <c r="C71" i="11"/>
  <c r="C60" i="11"/>
  <c r="C42" i="11"/>
  <c r="C30" i="11"/>
  <c r="C16" i="3" l="1"/>
  <c r="C12" i="3" s="1"/>
  <c r="C9" i="11"/>
  <c r="C15" i="11"/>
  <c r="C6" i="11"/>
  <c r="C5" i="11"/>
  <c r="G16" i="14"/>
  <c r="F16" i="14"/>
  <c r="G14" i="14"/>
  <c r="F14" i="14"/>
  <c r="G9" i="14"/>
  <c r="F9" i="14"/>
  <c r="C9" i="9"/>
  <c r="C63" i="9"/>
  <c r="C61" i="9"/>
  <c r="C59" i="9"/>
  <c r="C55" i="9"/>
  <c r="C35" i="9"/>
  <c r="C42" i="9" s="1"/>
  <c r="C47" i="9" s="1"/>
  <c r="C52" i="9" s="1"/>
  <c r="C31" i="9"/>
  <c r="C22" i="9"/>
  <c r="C19" i="9"/>
  <c r="C17" i="9"/>
  <c r="C14" i="9"/>
  <c r="C12" i="9"/>
  <c r="C7" i="9"/>
  <c r="D9" i="7"/>
  <c r="C33" i="9" l="1"/>
  <c r="D12" i="5"/>
  <c r="D62" i="5"/>
  <c r="D54" i="5"/>
  <c r="D34" i="5"/>
  <c r="D45" i="5" s="1"/>
  <c r="D82" i="3" l="1"/>
  <c r="D61" i="3"/>
  <c r="D74" i="3" s="1"/>
  <c r="D72" i="3"/>
  <c r="D43" i="3"/>
  <c r="D31" i="3"/>
  <c r="D16" i="3"/>
  <c r="D7" i="3"/>
  <c r="D6" i="3"/>
  <c r="D12" i="3" s="1"/>
  <c r="D61" i="2"/>
  <c r="D59" i="2"/>
  <c r="D57" i="2"/>
  <c r="D55" i="2"/>
  <c r="D47" i="2"/>
  <c r="D52" i="2" s="1"/>
  <c r="D33" i="2"/>
  <c r="D24" i="2"/>
  <c r="D22" i="2"/>
  <c r="D19" i="2"/>
  <c r="D17" i="2"/>
  <c r="D14" i="2"/>
  <c r="D12" i="2"/>
  <c r="D7" i="2"/>
  <c r="I16" i="14"/>
  <c r="I14" i="14"/>
  <c r="I9" i="14"/>
  <c r="K16" i="14"/>
  <c r="J16" i="14"/>
  <c r="K14" i="14"/>
  <c r="J14" i="14"/>
  <c r="K9" i="14"/>
  <c r="J9" i="14"/>
  <c r="D47" i="3" l="1"/>
  <c r="D61" i="13"/>
  <c r="D32" i="13"/>
  <c r="D7" i="13"/>
  <c r="D83" i="11"/>
  <c r="D42" i="11"/>
  <c r="D30" i="11"/>
  <c r="D15" i="11"/>
  <c r="D9" i="11"/>
  <c r="D6" i="11"/>
  <c r="D5" i="11"/>
  <c r="D63" i="9"/>
  <c r="D61" i="9"/>
  <c r="D59" i="9"/>
  <c r="D55" i="9"/>
  <c r="D52" i="9"/>
  <c r="D42" i="9" l="1"/>
  <c r="D35" i="9"/>
  <c r="D31" i="9"/>
  <c r="D24" i="9"/>
  <c r="D22" i="9"/>
  <c r="D19" i="9"/>
  <c r="D17" i="9"/>
  <c r="D14" i="9"/>
  <c r="D12" i="9"/>
  <c r="D7" i="9"/>
  <c r="L16" i="14"/>
  <c r="L14" i="14"/>
  <c r="L9" i="14"/>
  <c r="D33" i="9" l="1"/>
  <c r="M16" i="14"/>
  <c r="M14" i="14"/>
  <c r="M9" i="14"/>
  <c r="E9" i="7" l="1"/>
  <c r="F12" i="5"/>
  <c r="F10" i="5"/>
  <c r="H62" i="5"/>
  <c r="H54" i="5"/>
  <c r="E62" i="5"/>
  <c r="E54" i="5"/>
  <c r="F54" i="5"/>
  <c r="G54" i="5"/>
  <c r="F34" i="5"/>
  <c r="F45" i="5" s="1"/>
  <c r="F64" i="5" s="1"/>
  <c r="F69" i="5" s="1"/>
  <c r="E34" i="5"/>
  <c r="E45" i="5" s="1"/>
  <c r="E64" i="5" s="1"/>
  <c r="E69" i="5" s="1"/>
  <c r="F16" i="3"/>
  <c r="E16" i="3"/>
  <c r="E10" i="3"/>
  <c r="F6" i="3"/>
  <c r="F12" i="3" s="1"/>
  <c r="F7" i="3"/>
  <c r="E7" i="3"/>
  <c r="E6" i="3"/>
  <c r="G6" i="3"/>
  <c r="F82" i="3"/>
  <c r="F86" i="3" s="1"/>
  <c r="F88" i="3" s="1"/>
  <c r="E82" i="3"/>
  <c r="E72" i="3"/>
  <c r="E61" i="3"/>
  <c r="E74" i="3" s="1"/>
  <c r="E88" i="3" s="1"/>
  <c r="F31" i="3"/>
  <c r="E31" i="3"/>
  <c r="U16" i="14" l="1"/>
  <c r="U14" i="14"/>
  <c r="U9" i="14"/>
  <c r="O16" i="14"/>
  <c r="O14" i="14"/>
  <c r="F42" i="2"/>
  <c r="F52" i="2" s="1"/>
  <c r="F61" i="2"/>
  <c r="F59" i="2"/>
  <c r="F57" i="2"/>
  <c r="F55" i="2"/>
  <c r="E61" i="2"/>
  <c r="E59" i="2"/>
  <c r="E57" i="2"/>
  <c r="E55" i="2"/>
  <c r="E42" i="2"/>
  <c r="E52" i="2" s="1"/>
  <c r="E35" i="2"/>
  <c r="E31" i="2"/>
  <c r="F24" i="2"/>
  <c r="F22" i="2"/>
  <c r="F19" i="2"/>
  <c r="F17" i="2"/>
  <c r="F14" i="2"/>
  <c r="F12" i="2"/>
  <c r="F7" i="2"/>
  <c r="E24" i="2"/>
  <c r="E22" i="2"/>
  <c r="E19" i="2"/>
  <c r="E17" i="2"/>
  <c r="E14" i="2"/>
  <c r="E12" i="2"/>
  <c r="E33" i="2" l="1"/>
  <c r="Q16" i="14"/>
  <c r="Q14" i="14"/>
  <c r="Q9" i="14"/>
  <c r="P16" i="14"/>
  <c r="P14" i="14"/>
  <c r="P9" i="14"/>
  <c r="R16" i="14" l="1"/>
  <c r="R14" i="14"/>
  <c r="R9" i="14"/>
  <c r="E24" i="9"/>
  <c r="E22" i="9"/>
  <c r="E19" i="9"/>
  <c r="E17" i="9"/>
  <c r="E14" i="9"/>
  <c r="E12" i="9"/>
  <c r="E7" i="9"/>
  <c r="V24" i="2" l="1"/>
  <c r="U24" i="2"/>
  <c r="T24" i="2"/>
  <c r="S24" i="2"/>
  <c r="R24" i="2"/>
  <c r="Q24" i="2"/>
  <c r="P24" i="2"/>
  <c r="O24" i="2"/>
  <c r="N24" i="2"/>
  <c r="M24" i="2"/>
  <c r="L24" i="2"/>
  <c r="K24" i="2"/>
  <c r="I24" i="2"/>
  <c r="H24" i="2"/>
  <c r="G24" i="2"/>
  <c r="V22" i="2"/>
  <c r="U22" i="2"/>
  <c r="T22" i="2"/>
  <c r="S22" i="2"/>
  <c r="R22" i="2"/>
  <c r="Q22" i="2"/>
  <c r="P22" i="2"/>
  <c r="O22" i="2"/>
  <c r="N22" i="2"/>
  <c r="M22" i="2"/>
  <c r="L22" i="2"/>
  <c r="K22" i="2"/>
  <c r="I22" i="2"/>
  <c r="H22" i="2"/>
  <c r="G22" i="2"/>
  <c r="V19" i="2"/>
  <c r="U19" i="2"/>
  <c r="T19" i="2"/>
  <c r="S19" i="2"/>
  <c r="R19" i="2"/>
  <c r="Q19" i="2"/>
  <c r="P19" i="2"/>
  <c r="O19" i="2"/>
  <c r="N19" i="2"/>
  <c r="M19" i="2"/>
  <c r="L19" i="2"/>
  <c r="K19" i="2"/>
  <c r="I19" i="2"/>
  <c r="H19" i="2"/>
  <c r="G19" i="2"/>
  <c r="V17" i="2"/>
  <c r="U17" i="2"/>
  <c r="T17" i="2"/>
  <c r="S17" i="2"/>
  <c r="R17" i="2"/>
  <c r="Q17" i="2"/>
  <c r="P17" i="2"/>
  <c r="O17" i="2"/>
  <c r="N17" i="2"/>
  <c r="M17" i="2"/>
  <c r="L17" i="2"/>
  <c r="K17" i="2"/>
  <c r="I17" i="2"/>
  <c r="H17" i="2"/>
  <c r="G17" i="2"/>
  <c r="V14" i="2"/>
  <c r="U14" i="2"/>
  <c r="T14" i="2"/>
  <c r="S14" i="2"/>
  <c r="R14" i="2"/>
  <c r="Q14" i="2"/>
  <c r="P14" i="2"/>
  <c r="O14" i="2"/>
  <c r="N14" i="2"/>
  <c r="M14" i="2"/>
  <c r="L14" i="2"/>
  <c r="K14" i="2"/>
  <c r="I14" i="2"/>
  <c r="H14" i="2"/>
  <c r="G14" i="2"/>
  <c r="G12" i="2"/>
  <c r="V12" i="2"/>
  <c r="U12" i="2"/>
  <c r="T12" i="2"/>
  <c r="S12" i="2"/>
  <c r="R12" i="2"/>
  <c r="Q12" i="2"/>
  <c r="P12" i="2"/>
  <c r="O12" i="2"/>
  <c r="N12" i="2"/>
  <c r="M12" i="2"/>
  <c r="L12" i="2"/>
  <c r="K12" i="2"/>
  <c r="I12" i="2"/>
  <c r="H12" i="2"/>
  <c r="V7" i="2"/>
  <c r="U7" i="2"/>
  <c r="T7" i="2"/>
  <c r="S7" i="2"/>
  <c r="R7" i="2"/>
  <c r="Q7" i="2"/>
  <c r="P7" i="2"/>
  <c r="O7" i="2"/>
  <c r="N7" i="2"/>
  <c r="M7" i="2"/>
  <c r="L7" i="2"/>
  <c r="K7" i="2"/>
  <c r="I7" i="2"/>
  <c r="H7" i="2"/>
  <c r="G7" i="2"/>
  <c r="U24" i="9"/>
  <c r="T24" i="9"/>
  <c r="S24" i="9"/>
  <c r="R24" i="9"/>
  <c r="Q24" i="9"/>
  <c r="P24" i="9"/>
  <c r="O24" i="9"/>
  <c r="N24" i="9"/>
  <c r="M24" i="9"/>
  <c r="L24" i="9"/>
  <c r="K24" i="9"/>
  <c r="J24" i="9"/>
  <c r="H24" i="9"/>
  <c r="G24" i="9"/>
  <c r="F24" i="9"/>
  <c r="U22" i="9"/>
  <c r="T22" i="9"/>
  <c r="S22" i="9"/>
  <c r="R22" i="9"/>
  <c r="Q22" i="9"/>
  <c r="P22" i="9"/>
  <c r="O22" i="9"/>
  <c r="N22" i="9"/>
  <c r="M22" i="9"/>
  <c r="L22" i="9"/>
  <c r="K22" i="9"/>
  <c r="J22" i="9"/>
  <c r="H22" i="9"/>
  <c r="G22" i="9"/>
  <c r="F22" i="9"/>
  <c r="U19" i="9"/>
  <c r="T19" i="9"/>
  <c r="S19" i="9"/>
  <c r="R19" i="9"/>
  <c r="Q19" i="9"/>
  <c r="P19" i="9"/>
  <c r="O19" i="9"/>
  <c r="N19" i="9"/>
  <c r="M19" i="9"/>
  <c r="L19" i="9"/>
  <c r="K19" i="9"/>
  <c r="J19" i="9"/>
  <c r="H19" i="9"/>
  <c r="G19" i="9"/>
  <c r="F19" i="9"/>
  <c r="U17" i="9"/>
  <c r="T17" i="9"/>
  <c r="S17" i="9"/>
  <c r="R17" i="9"/>
  <c r="Q17" i="9"/>
  <c r="P17" i="9"/>
  <c r="O17" i="9"/>
  <c r="N17" i="9"/>
  <c r="M17" i="9"/>
  <c r="L17" i="9"/>
  <c r="K17" i="9"/>
  <c r="J17" i="9"/>
  <c r="H17" i="9"/>
  <c r="G17" i="9"/>
  <c r="F17" i="9"/>
  <c r="U14" i="9"/>
  <c r="T14" i="9"/>
  <c r="S14" i="9"/>
  <c r="R14" i="9"/>
  <c r="Q14" i="9"/>
  <c r="P14" i="9"/>
  <c r="O14" i="9"/>
  <c r="N14" i="9"/>
  <c r="M14" i="9"/>
  <c r="L14" i="9"/>
  <c r="K14" i="9"/>
  <c r="J14" i="9"/>
  <c r="H14" i="9"/>
  <c r="G14" i="9"/>
  <c r="F14" i="9"/>
  <c r="U12" i="9"/>
  <c r="T12" i="9"/>
  <c r="S12" i="9"/>
  <c r="R12" i="9"/>
  <c r="Q12" i="9"/>
  <c r="P12" i="9"/>
  <c r="O12" i="9"/>
  <c r="N12" i="9"/>
  <c r="M12" i="9"/>
  <c r="L12" i="9"/>
  <c r="K12" i="9"/>
  <c r="J12" i="9"/>
  <c r="H12" i="9"/>
  <c r="G12" i="9"/>
  <c r="F12" i="9"/>
  <c r="U7" i="9"/>
  <c r="T7" i="9"/>
  <c r="S7" i="9"/>
  <c r="R7" i="9"/>
  <c r="Q7" i="9"/>
  <c r="P7" i="9"/>
  <c r="O7" i="9"/>
  <c r="N7" i="9"/>
  <c r="M7" i="9"/>
  <c r="L7" i="9"/>
  <c r="K7" i="9"/>
  <c r="J7" i="9"/>
  <c r="H7" i="9"/>
  <c r="G7" i="9"/>
  <c r="F7" i="9"/>
  <c r="DF16" i="14"/>
  <c r="DE16" i="14"/>
  <c r="DD16" i="14"/>
  <c r="DB16" i="14"/>
  <c r="CZ16" i="14"/>
  <c r="CY16" i="14"/>
  <c r="CX16" i="14"/>
  <c r="CV16" i="14"/>
  <c r="CT16" i="14"/>
  <c r="CS16" i="14"/>
  <c r="CR16" i="14"/>
  <c r="CP16" i="14"/>
  <c r="CN16" i="14"/>
  <c r="CM16" i="14"/>
  <c r="CL16" i="14"/>
  <c r="CJ16" i="14"/>
  <c r="CH16" i="14"/>
  <c r="CG16" i="14"/>
  <c r="CF16" i="14"/>
  <c r="CD16" i="14"/>
  <c r="CB16" i="14"/>
  <c r="CA16" i="14"/>
  <c r="BZ16" i="14"/>
  <c r="BX16" i="14"/>
  <c r="BV16" i="14"/>
  <c r="BU16" i="14"/>
  <c r="BT16" i="14"/>
  <c r="BR16" i="14"/>
  <c r="BP16" i="14"/>
  <c r="BO16" i="14"/>
  <c r="BN16" i="14"/>
  <c r="BL16" i="14"/>
  <c r="BJ16" i="14"/>
  <c r="BI16" i="14"/>
  <c r="BH16" i="14"/>
  <c r="BF16" i="14"/>
  <c r="BD16" i="14"/>
  <c r="BC16" i="14"/>
  <c r="BB16" i="14"/>
  <c r="AZ16" i="14"/>
  <c r="AX16" i="14"/>
  <c r="AW16" i="14"/>
  <c r="AV16" i="14"/>
  <c r="AT16" i="14"/>
  <c r="AR16" i="14"/>
  <c r="AQ16" i="14"/>
  <c r="AP16" i="14"/>
  <c r="AN16" i="14"/>
  <c r="AL16" i="14"/>
  <c r="AK16" i="14"/>
  <c r="AJ16" i="14"/>
  <c r="AI16" i="14"/>
  <c r="AH16" i="14"/>
  <c r="AF16" i="14"/>
  <c r="AE16" i="14"/>
  <c r="AD16" i="14"/>
  <c r="AC16" i="14"/>
  <c r="AB16" i="14"/>
  <c r="Z16" i="14"/>
  <c r="Y16" i="14"/>
  <c r="X16" i="14"/>
  <c r="W16" i="14"/>
  <c r="V16" i="14"/>
  <c r="S16" i="14"/>
  <c r="DF14" i="14"/>
  <c r="DE14" i="14"/>
  <c r="DD14" i="14"/>
  <c r="DB14" i="14"/>
  <c r="CZ14" i="14"/>
  <c r="CY14" i="14"/>
  <c r="CX14" i="14"/>
  <c r="CV14" i="14"/>
  <c r="CT14" i="14"/>
  <c r="CS14" i="14"/>
  <c r="CR14" i="14"/>
  <c r="CP14" i="14"/>
  <c r="CN14" i="14"/>
  <c r="CM14" i="14"/>
  <c r="CL14" i="14"/>
  <c r="CJ14" i="14"/>
  <c r="CH14" i="14"/>
  <c r="CG14" i="14"/>
  <c r="CF14" i="14"/>
  <c r="CD14" i="14"/>
  <c r="CB14" i="14"/>
  <c r="CA14" i="14"/>
  <c r="BZ14" i="14"/>
  <c r="BX14" i="14"/>
  <c r="BV14" i="14"/>
  <c r="BU14" i="14"/>
  <c r="BT14" i="14"/>
  <c r="BR14" i="14"/>
  <c r="BP14" i="14"/>
  <c r="BO14" i="14"/>
  <c r="BN14" i="14"/>
  <c r="BL14" i="14"/>
  <c r="BJ14" i="14"/>
  <c r="BI14" i="14"/>
  <c r="BH14" i="14"/>
  <c r="BF14" i="14"/>
  <c r="BD14" i="14"/>
  <c r="BC14" i="14"/>
  <c r="BB14" i="14"/>
  <c r="AZ14" i="14"/>
  <c r="AX14" i="14"/>
  <c r="AW14" i="14"/>
  <c r="AV14" i="14"/>
  <c r="AT14" i="14"/>
  <c r="AR14" i="14"/>
  <c r="AQ14" i="14"/>
  <c r="AP14" i="14"/>
  <c r="AN14" i="14"/>
  <c r="AL14" i="14"/>
  <c r="AK14" i="14"/>
  <c r="AJ14" i="14"/>
  <c r="AI14" i="14"/>
  <c r="AH14" i="14"/>
  <c r="AF14" i="14"/>
  <c r="AE14" i="14"/>
  <c r="AD14" i="14"/>
  <c r="AC14" i="14"/>
  <c r="AB14" i="14"/>
  <c r="Z14" i="14"/>
  <c r="Y14" i="14"/>
  <c r="X14" i="14"/>
  <c r="W14" i="14"/>
  <c r="V14" i="14"/>
  <c r="S14" i="14"/>
  <c r="DF9" i="14"/>
  <c r="DE9" i="14"/>
  <c r="DD9" i="14"/>
  <c r="DB9" i="14"/>
  <c r="CZ9" i="14"/>
  <c r="CY9" i="14"/>
  <c r="CX9" i="14"/>
  <c r="CV9" i="14"/>
  <c r="CT9" i="14"/>
  <c r="CS9" i="14"/>
  <c r="CR9" i="14"/>
  <c r="CP9" i="14"/>
  <c r="CN9" i="14"/>
  <c r="CM9" i="14"/>
  <c r="CL9" i="14"/>
  <c r="CJ9" i="14"/>
  <c r="CH9" i="14"/>
  <c r="CG9" i="14"/>
  <c r="CF9" i="14"/>
  <c r="CD9" i="14"/>
  <c r="CB9" i="14"/>
  <c r="CA9" i="14"/>
  <c r="BZ9" i="14"/>
  <c r="BX9" i="14"/>
  <c r="BV9" i="14"/>
  <c r="BU9" i="14"/>
  <c r="BT9" i="14"/>
  <c r="BR9" i="14"/>
  <c r="BP9" i="14"/>
  <c r="BO9" i="14"/>
  <c r="BN9" i="14"/>
  <c r="BL9" i="14"/>
  <c r="BJ9" i="14"/>
  <c r="BI9" i="14"/>
  <c r="BH9" i="14"/>
  <c r="BF9" i="14"/>
  <c r="BD9" i="14"/>
  <c r="BC9" i="14"/>
  <c r="BB9" i="14"/>
  <c r="AZ9" i="14"/>
  <c r="AX9" i="14"/>
  <c r="AW9" i="14"/>
  <c r="AV9" i="14"/>
  <c r="AT9" i="14"/>
  <c r="AR9" i="14"/>
  <c r="AQ9" i="14"/>
  <c r="AP9" i="14"/>
  <c r="AN9" i="14"/>
  <c r="AL9" i="14"/>
  <c r="AK9" i="14"/>
  <c r="AJ9" i="14"/>
  <c r="AI9" i="14"/>
  <c r="AH9" i="14"/>
  <c r="AF9" i="14"/>
  <c r="AE9" i="14"/>
  <c r="AD9" i="14"/>
  <c r="AC9" i="14"/>
  <c r="AB9" i="14"/>
  <c r="Z9" i="14"/>
  <c r="Y9" i="14"/>
  <c r="X9" i="14"/>
  <c r="W9" i="14"/>
  <c r="V9" i="14"/>
  <c r="S9" i="14"/>
  <c r="F7" i="13" l="1"/>
  <c r="F12" i="13" s="1"/>
  <c r="J62" i="5" l="1"/>
  <c r="G7" i="3"/>
  <c r="G31" i="3"/>
  <c r="R6" i="11" l="1"/>
  <c r="Q6" i="11"/>
  <c r="P6" i="11"/>
  <c r="O6" i="11"/>
  <c r="N6" i="11"/>
  <c r="M6" i="11"/>
  <c r="L6" i="11"/>
  <c r="K6" i="11"/>
  <c r="J6" i="11"/>
  <c r="I6" i="11"/>
  <c r="H6" i="11"/>
  <c r="R5" i="11"/>
  <c r="Q5" i="11"/>
  <c r="P5" i="11"/>
  <c r="O5" i="11"/>
  <c r="N5" i="11"/>
  <c r="M5" i="11"/>
  <c r="L5" i="11"/>
  <c r="K5" i="11"/>
  <c r="J5" i="11"/>
  <c r="I5" i="11"/>
  <c r="H5" i="11"/>
  <c r="F6" i="11"/>
  <c r="F5" i="11"/>
  <c r="H6" i="3"/>
  <c r="K40" i="2" l="1"/>
  <c r="S7" i="3" l="1"/>
  <c r="R7" i="3"/>
  <c r="Q7" i="3"/>
  <c r="P7" i="3"/>
  <c r="O7" i="3"/>
  <c r="N7" i="3"/>
  <c r="M7" i="3"/>
  <c r="L7" i="3"/>
  <c r="K7" i="3"/>
  <c r="J7" i="3"/>
  <c r="I7" i="3"/>
  <c r="S6" i="3"/>
  <c r="R6" i="3"/>
  <c r="Q6" i="3"/>
  <c r="P6" i="3"/>
  <c r="O6" i="3"/>
  <c r="N6" i="3"/>
  <c r="M6" i="3"/>
  <c r="L6" i="3"/>
  <c r="K6" i="3"/>
  <c r="J6" i="3"/>
  <c r="I6" i="3"/>
  <c r="H7" i="3"/>
  <c r="H10" i="3"/>
  <c r="AO15" i="14" l="1"/>
  <c r="AO13" i="14"/>
  <c r="AO8" i="14"/>
  <c r="AO7" i="14"/>
  <c r="AO9" i="14" l="1"/>
  <c r="AO14" i="14"/>
  <c r="AO16" i="14"/>
  <c r="CW15" i="14"/>
  <c r="BY15" i="14"/>
  <c r="BS15" i="14"/>
  <c r="BM15" i="14"/>
  <c r="BG15" i="14"/>
  <c r="BA15" i="14"/>
  <c r="AU15" i="14"/>
  <c r="DC13" i="14"/>
  <c r="CW13" i="14"/>
  <c r="CQ13" i="14"/>
  <c r="CK13" i="14"/>
  <c r="CE13" i="14"/>
  <c r="BY13" i="14"/>
  <c r="BS13" i="14"/>
  <c r="BM13" i="14"/>
  <c r="BG13" i="14"/>
  <c r="BA13" i="14"/>
  <c r="AU13" i="14"/>
  <c r="DC8" i="14"/>
  <c r="CW8" i="14"/>
  <c r="CQ8" i="14"/>
  <c r="CK8" i="14"/>
  <c r="CE8" i="14"/>
  <c r="BY8" i="14"/>
  <c r="BS8" i="14"/>
  <c r="BM8" i="14"/>
  <c r="BG8" i="14"/>
  <c r="BA8" i="14"/>
  <c r="AU8" i="14"/>
  <c r="DC7" i="14"/>
  <c r="DC16" i="14" s="1"/>
  <c r="CW7" i="14"/>
  <c r="CQ7" i="14"/>
  <c r="CQ16" i="14" s="1"/>
  <c r="CK7" i="14"/>
  <c r="CK16" i="14" s="1"/>
  <c r="CE7" i="14"/>
  <c r="CE16" i="14" s="1"/>
  <c r="BY7" i="14"/>
  <c r="BS7" i="14"/>
  <c r="BM7" i="14"/>
  <c r="BG7" i="14"/>
  <c r="BA7" i="14"/>
  <c r="AU7" i="14"/>
  <c r="BA9" i="14" l="1"/>
  <c r="CW9" i="14"/>
  <c r="BM9" i="14"/>
  <c r="CK9" i="14"/>
  <c r="BA16" i="14"/>
  <c r="CQ14" i="14"/>
  <c r="DC14" i="14"/>
  <c r="CE9" i="14"/>
  <c r="CQ9" i="14"/>
  <c r="CW14" i="14"/>
  <c r="DC9" i="14"/>
  <c r="BG14" i="14"/>
  <c r="BM16" i="14"/>
  <c r="BG9" i="14"/>
  <c r="BM14" i="14"/>
  <c r="BS16" i="14"/>
  <c r="BS9" i="14"/>
  <c r="CK14" i="14"/>
  <c r="AU9" i="14"/>
  <c r="BA14" i="14"/>
  <c r="BG16" i="14"/>
  <c r="BS14" i="14"/>
  <c r="BY16" i="14"/>
  <c r="AU16" i="14"/>
  <c r="BY14" i="14"/>
  <c r="CW16" i="14"/>
  <c r="AU14" i="14"/>
  <c r="BY9" i="14"/>
  <c r="CE14" i="14"/>
  <c r="K7" i="13"/>
  <c r="K12" i="13" s="1"/>
  <c r="J7" i="13"/>
  <c r="J12" i="13" s="1"/>
  <c r="I7" i="13"/>
  <c r="I12" i="13" s="1"/>
  <c r="G7" i="13"/>
  <c r="G12" i="13" s="1"/>
  <c r="R53" i="13"/>
  <c r="Q53" i="13"/>
  <c r="P53" i="13"/>
  <c r="O53" i="13"/>
  <c r="N53" i="13"/>
  <c r="M53" i="13"/>
  <c r="I53" i="13"/>
  <c r="H53" i="13"/>
  <c r="L53" i="13"/>
  <c r="H83" i="11" l="1"/>
  <c r="H87" i="11" s="1"/>
  <c r="H71" i="11"/>
  <c r="H60" i="11"/>
  <c r="L46" i="11"/>
  <c r="K46" i="11"/>
  <c r="H42" i="11"/>
  <c r="H30" i="11"/>
  <c r="K9" i="11"/>
  <c r="J9" i="11"/>
  <c r="I9" i="11"/>
  <c r="H9" i="11"/>
  <c r="H11" i="11" s="1"/>
  <c r="G9" i="11"/>
  <c r="J49" i="9"/>
  <c r="J40" i="9"/>
  <c r="J11" i="11" l="1"/>
  <c r="H46" i="11"/>
  <c r="H75" i="11"/>
  <c r="H89" i="11" s="1"/>
  <c r="G11" i="11"/>
  <c r="K11" i="11"/>
  <c r="I11" i="11"/>
  <c r="O69" i="5" l="1"/>
  <c r="L69" i="5"/>
  <c r="S62" i="5"/>
  <c r="R62" i="5"/>
  <c r="P62" i="5"/>
  <c r="O62" i="5"/>
  <c r="N62" i="5"/>
  <c r="M62" i="5"/>
  <c r="I62" i="5"/>
  <c r="Q58" i="5"/>
  <c r="Q62" i="5" s="1"/>
  <c r="S54" i="5"/>
  <c r="R54" i="5"/>
  <c r="Q54" i="5"/>
  <c r="P54" i="5"/>
  <c r="O54" i="5"/>
  <c r="N54" i="5"/>
  <c r="J54" i="5"/>
  <c r="I54" i="5"/>
  <c r="M48" i="5"/>
  <c r="M54" i="5" s="1"/>
  <c r="L45" i="5"/>
  <c r="Q38" i="5"/>
  <c r="P38" i="5"/>
  <c r="Q36" i="5"/>
  <c r="P36" i="5"/>
  <c r="S34" i="5"/>
  <c r="S45" i="5" s="1"/>
  <c r="R34" i="5"/>
  <c r="R45" i="5" s="1"/>
  <c r="Q34" i="5"/>
  <c r="P34" i="5"/>
  <c r="O34" i="5"/>
  <c r="O45" i="5" s="1"/>
  <c r="N34" i="5"/>
  <c r="N45" i="5" s="1"/>
  <c r="M34" i="5"/>
  <c r="M45" i="5" s="1"/>
  <c r="J34" i="5"/>
  <c r="J45" i="5" s="1"/>
  <c r="I34" i="5"/>
  <c r="I45" i="5" s="1"/>
  <c r="L86" i="3"/>
  <c r="S82" i="3"/>
  <c r="S86" i="3" s="1"/>
  <c r="R82" i="3"/>
  <c r="R86" i="3" s="1"/>
  <c r="Q82" i="3"/>
  <c r="Q86" i="3" s="1"/>
  <c r="P82" i="3"/>
  <c r="P86" i="3" s="1"/>
  <c r="O82" i="3"/>
  <c r="O86" i="3" s="1"/>
  <c r="N82" i="3"/>
  <c r="N86" i="3" s="1"/>
  <c r="M82" i="3"/>
  <c r="M86" i="3" s="1"/>
  <c r="J82" i="3"/>
  <c r="I82" i="3"/>
  <c r="L74" i="3"/>
  <c r="S72" i="3"/>
  <c r="R72" i="3"/>
  <c r="Q72" i="3"/>
  <c r="P72" i="3"/>
  <c r="O72" i="3"/>
  <c r="N72" i="3"/>
  <c r="M72" i="3"/>
  <c r="J72" i="3"/>
  <c r="I72" i="3"/>
  <c r="S61" i="3"/>
  <c r="R61" i="3"/>
  <c r="Q61" i="3"/>
  <c r="O61" i="3"/>
  <c r="O74" i="3" s="1"/>
  <c r="N61" i="3"/>
  <c r="N74" i="3" s="1"/>
  <c r="M61" i="3"/>
  <c r="J61" i="3"/>
  <c r="I61" i="3"/>
  <c r="P59" i="3"/>
  <c r="P61" i="3" s="1"/>
  <c r="S43" i="3"/>
  <c r="R43" i="3"/>
  <c r="Q43" i="3"/>
  <c r="P43" i="3"/>
  <c r="O43" i="3"/>
  <c r="N43" i="3"/>
  <c r="M43" i="3"/>
  <c r="L43" i="3"/>
  <c r="J43" i="3"/>
  <c r="I43" i="3"/>
  <c r="H43" i="3"/>
  <c r="S31" i="3"/>
  <c r="R31" i="3"/>
  <c r="Q31" i="3"/>
  <c r="O31" i="3"/>
  <c r="N31" i="3"/>
  <c r="M31" i="3"/>
  <c r="L31" i="3"/>
  <c r="J31" i="3"/>
  <c r="I31" i="3"/>
  <c r="P27" i="3"/>
  <c r="P31" i="3" s="1"/>
  <c r="Q52" i="2"/>
  <c r="V49" i="2"/>
  <c r="V52" i="2" s="1"/>
  <c r="T49" i="2"/>
  <c r="M42" i="2"/>
  <c r="M52" i="2" s="1"/>
  <c r="U35" i="2"/>
  <c r="T35" i="2"/>
  <c r="T42" i="2" s="1"/>
  <c r="S35" i="2"/>
  <c r="S42" i="2" s="1"/>
  <c r="S52" i="2" s="1"/>
  <c r="R35" i="2"/>
  <c r="R42" i="2" s="1"/>
  <c r="R52" i="2" s="1"/>
  <c r="Q35" i="2"/>
  <c r="Q42" i="2" s="1"/>
  <c r="P35" i="2"/>
  <c r="P42" i="2" s="1"/>
  <c r="P52" i="2" s="1"/>
  <c r="O35" i="2"/>
  <c r="O42" i="2" s="1"/>
  <c r="O52" i="2" s="1"/>
  <c r="M33" i="2"/>
  <c r="J47" i="3" l="1"/>
  <c r="O47" i="3"/>
  <c r="I74" i="3"/>
  <c r="J64" i="5"/>
  <c r="J69" i="5" s="1"/>
  <c r="S64" i="5"/>
  <c r="S69" i="5" s="1"/>
  <c r="I64" i="5"/>
  <c r="I69" i="5" s="1"/>
  <c r="P45" i="5"/>
  <c r="P64" i="5" s="1"/>
  <c r="P69" i="5" s="1"/>
  <c r="Q45" i="5"/>
  <c r="Q64" i="5" s="1"/>
  <c r="N64" i="5"/>
  <c r="N69" i="5" s="1"/>
  <c r="R74" i="3"/>
  <c r="R88" i="3" s="1"/>
  <c r="J74" i="3"/>
  <c r="S47" i="3"/>
  <c r="R64" i="5"/>
  <c r="R69" i="5" s="1"/>
  <c r="Q20" i="5" s="1"/>
  <c r="M64" i="5"/>
  <c r="M69" i="5" s="1"/>
  <c r="R47" i="3"/>
  <c r="M74" i="3"/>
  <c r="M88" i="3" s="1"/>
  <c r="Q74" i="3"/>
  <c r="Q88" i="3" s="1"/>
  <c r="N47" i="3"/>
  <c r="P74" i="3"/>
  <c r="P88" i="3" s="1"/>
  <c r="S74" i="3"/>
  <c r="S88" i="3" s="1"/>
  <c r="L47" i="3"/>
  <c r="Q47" i="3"/>
  <c r="P47" i="3"/>
  <c r="M47" i="3"/>
  <c r="L88" i="3"/>
  <c r="N88" i="3"/>
  <c r="O88" i="3"/>
  <c r="T52" i="2"/>
  <c r="Q69" i="5" l="1"/>
  <c r="K9" i="7"/>
  <c r="I9" i="7"/>
  <c r="H9" i="7"/>
  <c r="G9" i="7"/>
  <c r="J12" i="5" l="1"/>
  <c r="I7" i="5"/>
  <c r="I12" i="5" s="1"/>
  <c r="L10" i="3" l="1"/>
  <c r="K10" i="3"/>
  <c r="J10" i="3"/>
  <c r="L8" i="3"/>
  <c r="K8" i="3"/>
  <c r="J8" i="3"/>
  <c r="H8" i="3"/>
  <c r="J12" i="3" l="1"/>
  <c r="J16" i="3" s="1"/>
</calcChain>
</file>

<file path=xl/sharedStrings.xml><?xml version="1.0" encoding="utf-8"?>
<sst xmlns="http://schemas.openxmlformats.org/spreadsheetml/2006/main" count="1209" uniqueCount="398">
  <si>
    <t>EBITDA</t>
  </si>
  <si>
    <t>Free cash flow</t>
  </si>
  <si>
    <t>2009</t>
  </si>
  <si>
    <t>2008</t>
  </si>
  <si>
    <t>Retail</t>
  </si>
  <si>
    <t>2010</t>
  </si>
  <si>
    <t>2011</t>
  </si>
  <si>
    <t>2012</t>
  </si>
  <si>
    <t>2013</t>
  </si>
  <si>
    <t>*</t>
  </si>
  <si>
    <t>2017°</t>
  </si>
  <si>
    <t>°</t>
  </si>
  <si>
    <t>Net sales</t>
  </si>
  <si>
    <t>Gross profit</t>
  </si>
  <si>
    <t>Operating profit/(loss)</t>
  </si>
  <si>
    <t>Net profit/(loss) attrib. to the Group</t>
  </si>
  <si>
    <t>Net working capital</t>
  </si>
  <si>
    <t>Tangible &amp; intangible fixed assets</t>
  </si>
  <si>
    <t>Financial fixed assets</t>
  </si>
  <si>
    <t>Non-current assets held for sale</t>
  </si>
  <si>
    <t>Other assets/(liabilities)</t>
  </si>
  <si>
    <t>Net financial position</t>
  </si>
  <si>
    <t>Minority interest</t>
  </si>
  <si>
    <t>Shareholders' equity</t>
  </si>
  <si>
    <t>Changes in working capital</t>
  </si>
  <si>
    <t xml:space="preserve">Cash from operating activities </t>
  </si>
  <si>
    <t>Cash from investing activities</t>
  </si>
  <si>
    <r>
      <rPr>
        <b/>
        <sz val="8"/>
        <rFont val="Arial"/>
        <family val="2"/>
      </rPr>
      <t>In 2017</t>
    </r>
    <r>
      <rPr>
        <sz val="8"/>
        <rFont val="Arial"/>
        <family val="2"/>
      </rPr>
      <t xml:space="preserve">, the adjusted economic results </t>
    </r>
    <r>
      <rPr>
        <u/>
        <sz val="8"/>
        <rFont val="Arial"/>
        <family val="2"/>
      </rPr>
      <t>exclude</t>
    </r>
    <r>
      <rPr>
        <sz val="8"/>
        <rFont val="Arial"/>
        <family val="2"/>
      </rPr>
      <t xml:space="preserve">: (i) an impairment charge on the goodwill allocated to the Group’s cash generating units for Euro 192.0 million and (ii) non-recurring costs for a total of Euro 15.3 million (Euro 15.2 and 12.5 million, respectively on EBITDA and Net result) related to the reorganization of the Ormoz plant in Slovenia, cost saving and restructuring initiatives, and to some legal litigations; </t>
    </r>
    <r>
      <rPr>
        <u/>
        <sz val="8"/>
        <rFont val="Arial"/>
        <family val="2"/>
      </rPr>
      <t>include</t>
    </r>
    <r>
      <rPr>
        <sz val="8"/>
        <rFont val="Arial"/>
        <family val="2"/>
      </rPr>
      <t>: (i) an income of Euro43 million, annual portion of the total Euro 90 million accounting compensation for the early termination of the Gucci license.</t>
    </r>
  </si>
  <si>
    <r>
      <rPr>
        <b/>
        <sz val="8"/>
        <rFont val="Arial"/>
        <family val="2"/>
      </rPr>
      <t>In 2016</t>
    </r>
    <r>
      <rPr>
        <sz val="8"/>
        <rFont val="Arial"/>
        <family val="2"/>
      </rPr>
      <t xml:space="preserve">, the adjusted economic results </t>
    </r>
    <r>
      <rPr>
        <u/>
        <sz val="8"/>
        <rFont val="Arial"/>
        <family val="2"/>
      </rPr>
      <t>exclude</t>
    </r>
    <r>
      <rPr>
        <sz val="8"/>
        <rFont val="Arial"/>
        <family val="2"/>
      </rPr>
      <t xml:space="preserve">: (i) an impairment loss on the goodwill allocated to the Far East cash generating unit for Euro 150.0 million and (ii) non-recurring restructuring costs for a total of Euro 9.8 million (Euro 7.9 and 7.5 million, respectively on EBITDA and Net result) due for Euro 8.6 million to overhead cost saving initiatives, such as the integration of Vale of Leven (Scotland) Polaroid lens production into Safilo’s China based corporate supply network and for  Euro 1.2 million to commercial restructuring costs in the EMEA region; </t>
    </r>
    <r>
      <rPr>
        <u/>
        <sz val="8"/>
        <rFont val="Arial"/>
        <family val="2"/>
      </rPr>
      <t>include</t>
    </r>
    <r>
      <rPr>
        <sz val="8"/>
        <rFont val="Arial"/>
        <family val="2"/>
      </rPr>
      <t>: (i) an income of Euro 8 million related to part of the total Euro 90 million accounting compensation for the early termination of the Gucci license, and (ii) an expense of Euro 4 million related to the final acceleration to P&amp;L of Gucci prepaid royalties.</t>
    </r>
  </si>
  <si>
    <r>
      <rPr>
        <b/>
        <sz val="8"/>
        <rFont val="Arial"/>
        <family val="2"/>
      </rPr>
      <t>In 2015</t>
    </r>
    <r>
      <rPr>
        <sz val="8"/>
        <rFont val="Arial"/>
        <family val="2"/>
      </rPr>
      <t xml:space="preserve">, the adjusted economic results </t>
    </r>
    <r>
      <rPr>
        <u/>
        <sz val="8"/>
        <rFont val="Arial"/>
        <family val="2"/>
      </rPr>
      <t>exclude</t>
    </r>
    <r>
      <rPr>
        <sz val="8"/>
        <rFont val="Arial"/>
        <family val="2"/>
      </rPr>
      <t>: (i) an impairment loss on the goodwill allocated to the Far East cash generating unit for Euro 40.5 million, (ii) commercial restructuring costs in the EMEA region for Euro 1.2 million, other non-recurring costs for Euro 1.8 million mainly related to the consolidation of the Group’s North American distribution network into its Denver facility and Euro 17.0 million for a provision for other risks and charges in relation to the investigation of the French Competition Authority.</t>
    </r>
  </si>
  <si>
    <r>
      <rPr>
        <b/>
        <sz val="8"/>
        <rFont val="Arial"/>
        <family val="2"/>
      </rPr>
      <t>In 2014</t>
    </r>
    <r>
      <rPr>
        <sz val="8"/>
        <rFont val="Arial"/>
        <family val="2"/>
      </rPr>
      <t xml:space="preserve">, the adjusted economic results </t>
    </r>
    <r>
      <rPr>
        <u/>
        <sz val="8"/>
        <rFont val="Arial"/>
        <family val="2"/>
      </rPr>
      <t>exclude</t>
    </r>
    <r>
      <rPr>
        <sz val="8"/>
        <rFont val="Arial"/>
        <family val="2"/>
      </rPr>
      <t xml:space="preserve"> non-recurring costs related to Executive Officers succession plans for 3.3 million Euro, to Smith Sport Optics restructuring for 2.5 million Euro, and to other restructuring costs for 1.9 million Euro.</t>
    </r>
  </si>
  <si>
    <r>
      <rPr>
        <b/>
        <sz val="8"/>
        <rFont val="Arial"/>
        <family val="2"/>
      </rPr>
      <t>In 2013</t>
    </r>
    <r>
      <rPr>
        <sz val="8"/>
        <rFont val="Arial"/>
        <family val="2"/>
      </rPr>
      <t xml:space="preserve">, the adjusted economic results </t>
    </r>
    <r>
      <rPr>
        <u/>
        <sz val="8"/>
        <rFont val="Arial"/>
        <family val="2"/>
      </rPr>
      <t>exclude</t>
    </r>
    <r>
      <rPr>
        <sz val="8"/>
        <rFont val="Arial"/>
        <family val="2"/>
      </rPr>
      <t>: (i) non-recurring items related to the CEO succesion plan for 6.2 million euro and to other restructuring costs for Euro 3.9 million; (ii) non-recurring costs in the line taxes for Euro 13.4 million mainly related the Company's best estimate of tax assessment in Italy for years 2007 to 2011. This estimate is reasonable and consistent with the definition which took place on February 27, 2014 covering all the years.</t>
    </r>
  </si>
  <si>
    <r>
      <rPr>
        <b/>
        <sz val="8"/>
        <rFont val="Arial"/>
        <family val="2"/>
      </rPr>
      <t>In 2009</t>
    </r>
    <r>
      <rPr>
        <sz val="8"/>
        <rFont val="Arial"/>
        <family val="2"/>
      </rPr>
      <t xml:space="preserve">, the adjusted economic results </t>
    </r>
    <r>
      <rPr>
        <u/>
        <sz val="8"/>
        <rFont val="Arial"/>
        <family val="2"/>
      </rPr>
      <t>exclude</t>
    </r>
    <r>
      <rPr>
        <sz val="8"/>
        <rFont val="Arial"/>
        <family val="2"/>
      </rPr>
      <t xml:space="preserve">: (i) an impairment charge on the goodwill for Euro 257.7 million and a loss on the sale of retail activities for  Euro 21.7 million; (ii)  a provision of  Euro 7.4 million for non recurring costs related to the industrial reorganisation plan; (iii) a write down of deferred tax assets of Euro 30.9 million. </t>
    </r>
  </si>
  <si>
    <r>
      <rPr>
        <b/>
        <sz val="8"/>
        <rFont val="Arial"/>
        <family val="2"/>
      </rPr>
      <t>In 2008</t>
    </r>
    <r>
      <rPr>
        <sz val="8"/>
        <rFont val="Arial"/>
        <family val="2"/>
      </rPr>
      <t xml:space="preserve">, the adjusted economic results </t>
    </r>
    <r>
      <rPr>
        <u/>
        <sz val="8"/>
        <rFont val="Arial"/>
        <family val="2"/>
      </rPr>
      <t>exclude</t>
    </r>
    <r>
      <rPr>
        <sz val="8"/>
        <rFont val="Arial"/>
        <family val="2"/>
      </rPr>
      <t xml:space="preserve"> a write down of deferred tax assets of Euro 38 million. </t>
    </r>
  </si>
  <si>
    <t>Headquarters</t>
  </si>
  <si>
    <t>Production</t>
  </si>
  <si>
    <t>Commercial</t>
  </si>
  <si>
    <t>Total</t>
  </si>
  <si>
    <r>
      <rPr>
        <b/>
        <sz val="8"/>
        <rFont val="Arial"/>
        <family val="2"/>
      </rPr>
      <t>In 2018</t>
    </r>
    <r>
      <rPr>
        <sz val="8"/>
        <rFont val="Arial"/>
        <family val="2"/>
      </rPr>
      <t xml:space="preserve">, the adjusted economic results </t>
    </r>
    <r>
      <rPr>
        <u/>
        <sz val="8"/>
        <rFont val="Arial"/>
        <family val="2"/>
      </rPr>
      <t>exclude</t>
    </r>
    <r>
      <rPr>
        <sz val="8"/>
        <rFont val="Arial"/>
        <family val="2"/>
      </rPr>
      <t xml:space="preserve"> non-recurring costs for Euro 5.8 million, mainly related to the CEO succession plan and reorganization costs in North America and Europe, and </t>
    </r>
    <r>
      <rPr>
        <u/>
        <sz val="8"/>
        <rFont val="Arial"/>
        <family val="2"/>
      </rPr>
      <t>include</t>
    </r>
    <r>
      <rPr>
        <sz val="8"/>
        <rFont val="Arial"/>
        <family val="2"/>
      </rPr>
      <t xml:space="preserve"> an income of Euro 39.0 million, annual portion of the total Euro 90 million accounting compensation for the early termination of the Gucci license.</t>
    </r>
  </si>
  <si>
    <t>°°</t>
  </si>
  <si>
    <r>
      <rPr>
        <b/>
        <sz val="8"/>
        <color theme="1"/>
        <rFont val="Arial"/>
        <family val="2"/>
      </rPr>
      <t>In 2019</t>
    </r>
    <r>
      <rPr>
        <sz val="8"/>
        <color theme="1"/>
        <rFont val="Arial"/>
        <family val="2"/>
      </rPr>
      <t xml:space="preserve">, the adjusted economic results </t>
    </r>
    <r>
      <rPr>
        <u/>
        <sz val="8"/>
        <color theme="1"/>
        <rFont val="Arial"/>
        <family val="2"/>
      </rPr>
      <t>exclude</t>
    </r>
    <r>
      <rPr>
        <sz val="8"/>
        <color theme="1"/>
        <rFont val="Arial"/>
        <family val="2"/>
      </rPr>
      <t xml:space="preserve">: (i) the impairment of the entire goodwill allocated to the Group’s cash generating units of Euro 227.1 million, (ii) the write-down of deferred tax assets of Euro 22.4 million, (iii) the write-down of fixed assets of Euro 9.0 million for the restructuring plan in Italy, announced on December 10, 2019, (iv) non-recurring costs of 39.4 million, related to the above-mentioned restructuring plan in Italy for Euro 21 million, to the cost saving program undertaken by the Company during the year, and to activities linked to acquisitions and divestitures, and (v) non-recurring items related to the retail discontinued operations for Euro 18.6 million. At the net result level, there was a positive tax effect on the non-recurring costs themselves of Euro 1.9 million. </t>
    </r>
  </si>
  <si>
    <t>Adjusted EBITDA *</t>
  </si>
  <si>
    <t>Adjusted Operating profit/(loss) *</t>
  </si>
  <si>
    <t>Adjusted Net profit/(loss) attrib. to the Group *</t>
  </si>
  <si>
    <t>(Euro in millions)</t>
  </si>
  <si>
    <t> - Cost of sales</t>
  </si>
  <si>
    <t>Gross Profit</t>
  </si>
  <si>
    <t> - Selling and marketing expenses</t>
  </si>
  <si>
    <t> - General and administrative expenses</t>
  </si>
  <si>
    <t> - Other operating income/(expenses)</t>
  </si>
  <si>
    <t> - Impairment loss on goodwill and loss disposal of retail subsidiaries</t>
  </si>
  <si>
    <t> - Financial charges, net</t>
  </si>
  <si>
    <t>Profit/(Loss) before taxation</t>
  </si>
  <si>
    <t> - Income Taxes</t>
  </si>
  <si>
    <t> - Net profit/(loss) attributable to minority interests</t>
  </si>
  <si>
    <t>Net profit/(loss) attributable to the Group</t>
  </si>
  <si>
    <t>2019</t>
  </si>
  <si>
    <t>-</t>
  </si>
  <si>
    <t>ASSETS</t>
  </si>
  <si>
    <t>Current assets</t>
  </si>
  <si>
    <t> - Cash and cash equivalents</t>
  </si>
  <si>
    <t> - Trade receivables</t>
  </si>
  <si>
    <t> - Inventory</t>
  </si>
  <si>
    <t> - Derivate financial instruments</t>
  </si>
  <si>
    <t> - Other current assets</t>
  </si>
  <si>
    <t>Total current assets</t>
  </si>
  <si>
    <t>Non-current assets</t>
  </si>
  <si>
    <t> - Tangible assets</t>
  </si>
  <si>
    <t> - Intangible assets</t>
  </si>
  <si>
    <t> - Goodwill</t>
  </si>
  <si>
    <t> - Investments in associates</t>
  </si>
  <si>
    <t> - Available-for-sale financial assets</t>
  </si>
  <si>
    <t> - Deferred tax assets</t>
  </si>
  <si>
    <t> - Derivative financial instruments</t>
  </si>
  <si>
    <t> - Other non-current assets</t>
  </si>
  <si>
    <t>Total non-current assets</t>
  </si>
  <si>
    <t>TOTAL ASSETS</t>
  </si>
  <si>
    <t>LIABILITIES AND SHAREHOLDERS' EQUITY</t>
  </si>
  <si>
    <t>Current liabilities</t>
  </si>
  <si>
    <t> - Short-term borrowings</t>
  </si>
  <si>
    <t> - Trade payables</t>
  </si>
  <si>
    <t> - Tax payables</t>
  </si>
  <si>
    <t xml:space="preserve"> - Derivative financial instruments </t>
  </si>
  <si>
    <t xml:space="preserve"> - Other current liabilities </t>
  </si>
  <si>
    <t> - Provisions for risks and charges</t>
  </si>
  <si>
    <t>Total current liabilities</t>
  </si>
  <si>
    <t>Non-current liabilities</t>
  </si>
  <si>
    <t> - Long-term borrowings</t>
  </si>
  <si>
    <t> - Employee benefit liability</t>
  </si>
  <si>
    <t xml:space="preserve"> - Provisions for risks and charges</t>
  </si>
  <si>
    <t> - Deferred tax liabilities</t>
  </si>
  <si>
    <t xml:space="preserve"> - Other non-current liabilities </t>
  </si>
  <si>
    <t xml:space="preserve">Total non-current liabilities </t>
  </si>
  <si>
    <t>TOTAL LIABILITIES</t>
  </si>
  <si>
    <t> - Share capital</t>
  </si>
  <si>
    <t> - Share premium reserve</t>
  </si>
  <si>
    <t> - Retained earnings and other reserves</t>
  </si>
  <si>
    <t> - Cash flow hedge reserve</t>
  </si>
  <si>
    <t> - Income/(Loss) attributable to the Group</t>
  </si>
  <si>
    <t>Total shareholders' equity attributable to the Group</t>
  </si>
  <si>
    <t>Non controlling interests</t>
  </si>
  <si>
    <t>TOTAL SHAREHOLDERS' EQUITY</t>
  </si>
  <si>
    <t>TOTAL LIABILITIES AND SHAREHOLDERS' EQUITY</t>
  </si>
  <si>
    <t>Complete Balance Sheet</t>
  </si>
  <si>
    <t xml:space="preserve"> - Right of Use assets </t>
  </si>
  <si>
    <t xml:space="preserve"> - Lease liabilities  </t>
  </si>
  <si>
    <t>Balance Sheet_Highlights</t>
  </si>
  <si>
    <t>Cash from operating activities prior to changes in WC</t>
  </si>
  <si>
    <t>A - Opening net cash and cash equivalents (net financial indebtness - 
     short term)</t>
  </si>
  <si>
    <t>B - Cash flow from (for) operating activities</t>
  </si>
  <si>
    <t> - Net profit (loss) for the period (including minority interests)</t>
  </si>
  <si>
    <t> - Depreciation and amortization</t>
  </si>
  <si>
    <t xml:space="preserve"> - Impairment loss on goodwill</t>
  </si>
  <si>
    <t> - Interest expenses, net</t>
  </si>
  <si>
    <t> - Income tax expenses</t>
  </si>
  <si>
    <t>Flow from operating activities prior to movements 
in working capital</t>
  </si>
  <si>
    <t xml:space="preserve"> - (Increase) decrease in trade receivables </t>
  </si>
  <si>
    <t> - (Increase) decrease in inventory, net</t>
  </si>
  <si>
    <t xml:space="preserve"> - Increase (decrease) in trade payables </t>
  </si>
  <si>
    <t xml:space="preserve"> - (Increase) decrease in other receivables </t>
  </si>
  <si>
    <t xml:space="preserve"> - Increase (decrease) in other payables </t>
  </si>
  <si>
    <t> - Interest expenses paid</t>
  </si>
  <si>
    <t> - Income tax paid</t>
  </si>
  <si>
    <t>Total B</t>
  </si>
  <si>
    <t>C - Cash flow from (for) investing activities</t>
  </si>
  <si>
    <t> - Investments in property, plant and equipment (net of disposals)</t>
  </si>
  <si>
    <t> - Acquisition of minorities (in subsidiaries)</t>
  </si>
  <si>
    <t> - Purchase of intangible assets, net of disposals</t>
  </si>
  <si>
    <t>Total C</t>
  </si>
  <si>
    <t>D - Cash flow from (for) financing activities</t>
  </si>
  <si>
    <t> - Proceeds from borrowings</t>
  </si>
  <si>
    <t xml:space="preserve"> - Repayment of borrowings </t>
  </si>
  <si>
    <t xml:space="preserve"> - Share capital increase </t>
  </si>
  <si>
    <t> - Dividends paid</t>
  </si>
  <si>
    <t>Total D</t>
  </si>
  <si>
    <t>E - Cash Flow for the period (B+C+D)</t>
  </si>
  <si>
    <t>F - Translation exchange difference</t>
  </si>
  <si>
    <t>G - CLOSING NET CASH AND CASH EQUIVALENTS (net financial indebtness - short term) (A+E+F)</t>
  </si>
  <si>
    <t>Free Cash Flow</t>
  </si>
  <si>
    <t>Complete Cash flow statement</t>
  </si>
  <si>
    <t xml:space="preserve"> - Right of Use depreciation IFRS 16</t>
  </si>
  <si>
    <t xml:space="preserve"> - (Gain)/Loss from disposal of subsidiary</t>
  </si>
  <si>
    <t xml:space="preserve"> - Interest expenses on lease liability IFRS 16 </t>
  </si>
  <si>
    <t xml:space="preserve"> - Interest expenses paid on lease liability IFRS 16 </t>
  </si>
  <si>
    <t xml:space="preserve"> - Net disposals of property, plant and equipment and assets held for sale</t>
  </si>
  <si>
    <t xml:space="preserve"> - Repayment lease liability IFRS 16 </t>
  </si>
  <si>
    <t>N° of Employees</t>
  </si>
  <si>
    <t>H1 2020</t>
  </si>
  <si>
    <t>H1 2018</t>
  </si>
  <si>
    <t>H1 2016</t>
  </si>
  <si>
    <t>H1 2015</t>
  </si>
  <si>
    <t>H1 2014</t>
  </si>
  <si>
    <t>H1 2013</t>
  </si>
  <si>
    <t>H1 2012</t>
  </si>
  <si>
    <t>H1 2011</t>
  </si>
  <si>
    <t>H1 2010</t>
  </si>
  <si>
    <t>H1 2009</t>
  </si>
  <si>
    <t>H1 2008</t>
  </si>
  <si>
    <t>June 30 2020</t>
  </si>
  <si>
    <t>June 30 2019</t>
  </si>
  <si>
    <t>June 30 2018</t>
  </si>
  <si>
    <t>June 30 2017</t>
  </si>
  <si>
    <t>June 30 2016</t>
  </si>
  <si>
    <t>June 30 2015</t>
  </si>
  <si>
    <t>June 30 2014</t>
  </si>
  <si>
    <t>June 30 2013</t>
  </si>
  <si>
    <t>June 30 2012</t>
  </si>
  <si>
    <t>June 30 2011</t>
  </si>
  <si>
    <t>June 30 2010</t>
  </si>
  <si>
    <t>June 30 2009</t>
  </si>
  <si>
    <t>June 30 2008</t>
  </si>
  <si>
    <t>H1 2019</t>
  </si>
  <si>
    <t>Cash from repayment principal portion of IFRS 16 lease liabilities</t>
  </si>
  <si>
    <r>
      <rPr>
        <b/>
        <sz val="8"/>
        <color theme="1"/>
        <rFont val="Arial"/>
        <family val="2"/>
      </rPr>
      <t>In H1 2020</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13.2 million (Euro 10.3 million on EBITDA), due to restructuring expenses related to the ongoing cost saving program. In Q2 2020, the adjusted EBITDA excludes non-recurring costs for Euro 7.9 million.</t>
    </r>
  </si>
  <si>
    <r>
      <rPr>
        <b/>
        <sz val="8"/>
        <color theme="1"/>
        <rFont val="Arial"/>
        <family val="2"/>
      </rPr>
      <t>In H1 2018</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3.5 million, mainly related to the CEO succession plan and reorganization costs in North America; the adjusted economic results include an income of Euro 19.5 million, as pro-rata portion of the accounting compensation for the early termination of the Gucci license, equal to Euro 39 million for the full year 2018.
</t>
    </r>
  </si>
  <si>
    <r>
      <rPr>
        <b/>
        <sz val="8"/>
        <color theme="1"/>
        <rFont val="Arial"/>
        <family val="2"/>
      </rPr>
      <t>In H1 2017</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of Euro 3.7 million, mainly related to the reorganization of the Ormoz plant in Slovenia and other overhead cost saving initiatives (Euro 3.0 on the Net result). The adjusted economic results include an income of Euro 21.5 million as a pro-rata portion of the accounting compensation for the early termination of the Gucci license, equal to Euro 43 million for the full year 2017.</t>
    </r>
  </si>
  <si>
    <r>
      <rPr>
        <b/>
        <sz val="8"/>
        <color theme="1"/>
        <rFont val="Arial"/>
        <family val="2"/>
      </rPr>
      <t>In H1 2016</t>
    </r>
    <r>
      <rPr>
        <sz val="8"/>
        <color theme="1"/>
        <rFont val="Arial"/>
        <family val="2"/>
      </rPr>
      <t xml:space="preserve">, the adjusted operating results </t>
    </r>
    <r>
      <rPr>
        <u/>
        <sz val="8"/>
        <color theme="1"/>
        <rFont val="Arial"/>
        <family val="2"/>
      </rPr>
      <t>exclude</t>
    </r>
    <r>
      <rPr>
        <sz val="8"/>
        <color theme="1"/>
        <rFont val="Arial"/>
        <family val="2"/>
      </rPr>
      <t xml:space="preserve"> non-recurring costs of Euro 7.1 million (Euro 6.1 million on EBITDA), including Euro 5.9 million related to overhead cost saving initiatives, such as the planned integration of Vale of Leven (Scotland) Polaroid lens production into Safilo’s China based corporate supply network, and Euro 1.2 million related to commercial restructuring costs in the EMEA region.</t>
    </r>
  </si>
  <si>
    <r>
      <rPr>
        <b/>
        <sz val="8"/>
        <color theme="1"/>
        <rFont val="Arial"/>
        <family val="2"/>
      </rPr>
      <t>In H1 2015</t>
    </r>
    <r>
      <rPr>
        <sz val="8"/>
        <color theme="1"/>
        <rFont val="Arial"/>
        <family val="2"/>
      </rPr>
      <t xml:space="preserve">, the adjusted economic results </t>
    </r>
    <r>
      <rPr>
        <u/>
        <sz val="8"/>
        <color theme="1"/>
        <rFont val="Arial"/>
        <family val="2"/>
      </rPr>
      <t>exclude</t>
    </r>
    <r>
      <rPr>
        <sz val="8"/>
        <color theme="1"/>
        <rFont val="Arial"/>
        <family val="2"/>
      </rPr>
      <t xml:space="preserve"> non-recurring items related to commercial restructuring costs in the EMEA region for Euro 1.2 million and other non-recurring costs for Euro 1.2 million mainly related to the consolidation of the Group’s North American distribution network into its Denver facility.</t>
    </r>
  </si>
  <si>
    <r>
      <rPr>
        <b/>
        <sz val="8"/>
        <color theme="1"/>
        <rFont val="Arial"/>
        <family val="2"/>
      </rPr>
      <t>In H1 2014</t>
    </r>
    <r>
      <rPr>
        <sz val="8"/>
        <color theme="1"/>
        <rFont val="Arial"/>
        <family val="2"/>
      </rPr>
      <t xml:space="preserve">, the adjusted economic results </t>
    </r>
    <r>
      <rPr>
        <u/>
        <sz val="8"/>
        <color theme="1"/>
        <rFont val="Arial"/>
        <family val="2"/>
      </rPr>
      <t>exclude</t>
    </r>
    <r>
      <rPr>
        <sz val="8"/>
        <color theme="1"/>
        <rFont val="Arial"/>
        <family val="2"/>
      </rPr>
      <t xml:space="preserve"> non-recurring expenses for Euro 3.0 million related to the voluntary exit incentives recently signed with employees and trade unions, as the solidarity contracts come to an end, and to some reorganization costs.</t>
    </r>
  </si>
  <si>
    <r>
      <rPr>
        <b/>
        <sz val="8"/>
        <rFont val="Arial"/>
        <family val="2"/>
      </rPr>
      <t>In H1 2013</t>
    </r>
    <r>
      <rPr>
        <sz val="8"/>
        <rFont val="Arial"/>
        <family val="2"/>
      </rPr>
      <t xml:space="preserve">, the adjusted economic results </t>
    </r>
    <r>
      <rPr>
        <u/>
        <sz val="8"/>
        <rFont val="Arial"/>
        <family val="2"/>
      </rPr>
      <t>exclude</t>
    </r>
    <r>
      <rPr>
        <sz val="8"/>
        <rFont val="Arial"/>
        <family val="2"/>
      </rPr>
      <t xml:space="preserve"> non-recurring costs recorded in the second quarter of 2013, amounting to Euro 7.4 million and related for around Euro 6.0 million to the CEO succession plan announced by the Group on June 19 and for Euro 1.4 million to some restructuring expenses and relating fiscal impact .</t>
    </r>
  </si>
  <si>
    <r>
      <rPr>
        <b/>
        <sz val="8"/>
        <rFont val="Arial"/>
        <family val="2"/>
      </rPr>
      <t>In H1 2009</t>
    </r>
    <r>
      <rPr>
        <sz val="8"/>
        <rFont val="Arial"/>
        <family val="2"/>
      </rPr>
      <t xml:space="preserve">, the adjusted economic results </t>
    </r>
    <r>
      <rPr>
        <u/>
        <sz val="8"/>
        <rFont val="Arial"/>
        <family val="2"/>
      </rPr>
      <t>exclud</t>
    </r>
    <r>
      <rPr>
        <sz val="8"/>
        <rFont val="Arial"/>
        <family val="2"/>
      </rPr>
      <t>e non-recurring costs amounting to Euro 7.4 million for a provision related to a reorganisation plan and the goodwill write down of 120.7 million euro.</t>
    </r>
  </si>
  <si>
    <t>(225.9</t>
  </si>
  <si>
    <t>H1 2017 °</t>
  </si>
  <si>
    <t xml:space="preserve"> - Income Taxes </t>
  </si>
  <si>
    <r>
      <rPr>
        <b/>
        <sz val="8"/>
        <color theme="1"/>
        <rFont val="Arial"/>
        <family val="2"/>
      </rPr>
      <t>In H1 2019</t>
    </r>
    <r>
      <rPr>
        <sz val="8"/>
        <color theme="1"/>
        <rFont val="Arial"/>
        <family val="2"/>
      </rPr>
      <t xml:space="preserve">, the adjusted economic results </t>
    </r>
    <r>
      <rPr>
        <u/>
        <sz val="8"/>
        <color theme="1"/>
        <rFont val="Arial"/>
        <family val="2"/>
      </rPr>
      <t>exclude</t>
    </r>
    <r>
      <rPr>
        <sz val="8"/>
        <color theme="1"/>
        <rFont val="Arial"/>
        <family val="2"/>
      </rPr>
      <t>: (i) the impairment of the entire goodwill allocated to the Group’s cash generating units for Euro 227.1 million, (ii) non-recurring costs for Euro 5 million due to restructuring expenses related to the ongoing cost saving program, and (iii) a write-down of deferred tax assets of Euro 23.3 million (Euro 27 million on the total operations).</t>
    </r>
  </si>
  <si>
    <t>Liabilities classified as held for sale and discontinued operation</t>
  </si>
  <si>
    <t>Non-current assets held for sale and discontinued operation</t>
  </si>
  <si>
    <t xml:space="preserve">H1 2017 </t>
  </si>
  <si>
    <t> - Purchase of subsidiary (net of cash acquired)</t>
  </si>
  <si>
    <t> - Acquisition of minorities</t>
  </si>
  <si>
    <t> - (Acquisition) Disposal of investments and bonds</t>
  </si>
  <si>
    <t>Quarterly Trading Update*</t>
  </si>
  <si>
    <t>9M 2020</t>
  </si>
  <si>
    <t>Q3 2020</t>
  </si>
  <si>
    <t>Q2 2020</t>
  </si>
  <si>
    <t>Q1 2020</t>
  </si>
  <si>
    <t>Q4 2019</t>
  </si>
  <si>
    <t>9M 2019</t>
  </si>
  <si>
    <t>Q3 2019</t>
  </si>
  <si>
    <t>Q2 2019</t>
  </si>
  <si>
    <t>Q1 2019</t>
  </si>
  <si>
    <t>Q4 2018</t>
  </si>
  <si>
    <t>9M 2018</t>
  </si>
  <si>
    <t>Q3 2018</t>
  </si>
  <si>
    <t>Q2 2018</t>
  </si>
  <si>
    <t>Q1 2018</t>
  </si>
  <si>
    <t>Q4 2017°</t>
  </si>
  <si>
    <t>9M 2017°</t>
  </si>
  <si>
    <t>Q3 2017°</t>
  </si>
  <si>
    <t>Q2 2017°</t>
  </si>
  <si>
    <t>Q1 2017°</t>
  </si>
  <si>
    <t>Q4 2016</t>
  </si>
  <si>
    <t>9M 2016</t>
  </si>
  <si>
    <t>Q3 2016</t>
  </si>
  <si>
    <t>Q2 2016</t>
  </si>
  <si>
    <t>Q1 2016</t>
  </si>
  <si>
    <t>Q4 2015</t>
  </si>
  <si>
    <t>9M 2015</t>
  </si>
  <si>
    <t>Q3 2015</t>
  </si>
  <si>
    <t>Q2 2015</t>
  </si>
  <si>
    <t>Q1 2015</t>
  </si>
  <si>
    <t>Q4 2014</t>
  </si>
  <si>
    <t>9M 2014</t>
  </si>
  <si>
    <t>Q3 2014</t>
  </si>
  <si>
    <t>Q2 2014</t>
  </si>
  <si>
    <t>Q1 2014</t>
  </si>
  <si>
    <t>Q4 2013</t>
  </si>
  <si>
    <t>9M 2013</t>
  </si>
  <si>
    <t>Q3 2013</t>
  </si>
  <si>
    <t>Q2 2013</t>
  </si>
  <si>
    <t>Q1 2013</t>
  </si>
  <si>
    <t>Q4 2012</t>
  </si>
  <si>
    <t>9M 2012</t>
  </si>
  <si>
    <t>Q3 2012</t>
  </si>
  <si>
    <t>Q2 2012</t>
  </si>
  <si>
    <t>Q1 2012</t>
  </si>
  <si>
    <t>Q4 2011</t>
  </si>
  <si>
    <t>9M 2011</t>
  </si>
  <si>
    <t>Q3 2011</t>
  </si>
  <si>
    <t>Q2 2011</t>
  </si>
  <si>
    <t>Q1 2011</t>
  </si>
  <si>
    <t>Q4 2010</t>
  </si>
  <si>
    <t>9M 2010</t>
  </si>
  <si>
    <t>Q3 2010</t>
  </si>
  <si>
    <t>Q2 2010</t>
  </si>
  <si>
    <t>Q1 2010</t>
  </si>
  <si>
    <t>Q4 2009</t>
  </si>
  <si>
    <t>9M 2009</t>
  </si>
  <si>
    <t>Q3 2009</t>
  </si>
  <si>
    <t>Q2 2009</t>
  </si>
  <si>
    <t>Q1 2009</t>
  </si>
  <si>
    <t>Q4 2008</t>
  </si>
  <si>
    <t>9M 2008</t>
  </si>
  <si>
    <t>Q3 2008</t>
  </si>
  <si>
    <t>Q2 2008</t>
  </si>
  <si>
    <t>Q1 2008</t>
  </si>
  <si>
    <t>Adjusted EBITDA **</t>
  </si>
  <si>
    <t>Following the entry into  force on March 18, 2016 of the Italian Legislative Decree no. 25 of 15 February  2016, which eliminates, in accordance with the European Union’s Transparency  Directive, the obligation to publish interim management statements, Safilo decided to release on a voluntary basis a quarterly trading update for its economic KPIs.</t>
  </si>
  <si>
    <t>**</t>
  </si>
  <si>
    <r>
      <t xml:space="preserve">In Q3 2020, </t>
    </r>
    <r>
      <rPr>
        <sz val="9"/>
        <rFont val="Times New Roman"/>
        <family val="1"/>
      </rPr>
      <t>the adjusted EBITDA excludes non-recurring costs for Euro 1.5 million due to restructuring expenses related to the cost saving program</t>
    </r>
  </si>
  <si>
    <r>
      <t xml:space="preserve">In Q2 2020, </t>
    </r>
    <r>
      <rPr>
        <sz val="9"/>
        <rFont val="Times New Roman"/>
        <family val="1"/>
      </rPr>
      <t xml:space="preserve">the adjusted EBITDA </t>
    </r>
    <r>
      <rPr>
        <sz val="8"/>
        <rFont val="Times New Roman"/>
        <family val="1"/>
      </rPr>
      <t>excludes non-recurring costs for Euro 7.9 million due to restructuring expenses related to the cost saving program</t>
    </r>
  </si>
  <si>
    <r>
      <t>In Q4 2019</t>
    </r>
    <r>
      <rPr>
        <sz val="9"/>
        <rFont val="Times New Roman"/>
        <family val="1"/>
      </rPr>
      <t>, the adjusted EBITDA excludes non-recurring costs for Euro 29.0 million due to the restructuring plan in Italy, to the cost saving program undertaken by the Company during the year, and to activities linked to acquisitions and divestitures</t>
    </r>
  </si>
  <si>
    <r>
      <t xml:space="preserve">In Q3 2019, </t>
    </r>
    <r>
      <rPr>
        <sz val="9"/>
        <rFont val="Times New Roman"/>
        <family val="1"/>
      </rPr>
      <t>the adjusted EBITDA excludes non-recurring costs for Euro 5.4 million due to restructuring expenses related to the cost saving program</t>
    </r>
  </si>
  <si>
    <r>
      <t xml:space="preserve">In Q2 2019, </t>
    </r>
    <r>
      <rPr>
        <sz val="9"/>
        <rFont val="Times New Roman"/>
        <family val="1"/>
      </rPr>
      <t xml:space="preserve">the adjusted EBITDA of the Continuing Operations </t>
    </r>
    <r>
      <rPr>
        <sz val="8"/>
        <rFont val="Times New Roman"/>
        <family val="1"/>
      </rPr>
      <t>excludes non-recurring costs for Euro 3.8 million due to restructuring expenses related to the cost saving program</t>
    </r>
  </si>
  <si>
    <r>
      <t>In Q1 2019</t>
    </r>
    <r>
      <rPr>
        <sz val="9"/>
        <rFont val="Times New Roman"/>
        <family val="1"/>
      </rPr>
      <t>, the adjusted EBITDA of the Continuing Operations excludes non-recurring costs for Euro 1.1 million due to restructuring expenses related to the cost saving program</t>
    </r>
  </si>
  <si>
    <r>
      <t>In Q4 2018</t>
    </r>
    <r>
      <rPr>
        <sz val="9"/>
        <rFont val="Times New Roman"/>
        <family val="1"/>
      </rPr>
      <t>, the adjusted EBITDA excludes non-recurring costs for Euro 1.3 million and includes an income of Euro 9.8 million, as pro-rata portion of the annual accounting compensation for the early termination of the Gucci license.</t>
    </r>
  </si>
  <si>
    <r>
      <t xml:space="preserve">In Q3 2018, </t>
    </r>
    <r>
      <rPr>
        <sz val="9"/>
        <rFont val="Times New Roman"/>
        <family val="1"/>
      </rPr>
      <t>the adjusted EBITDA excludes non-recurring costs for Euro 1.0 million and includes an income of Euro 9.8 million, as pro-rata portion of the accounting compensation for the early termination of the Gucci license, equal to Euro 39 million for the full year 2018.</t>
    </r>
  </si>
  <si>
    <r>
      <t xml:space="preserve">In Q2 2018, </t>
    </r>
    <r>
      <rPr>
        <sz val="9"/>
        <rFont val="Times New Roman"/>
        <family val="1"/>
      </rPr>
      <t xml:space="preserve">the adjusted EBITDA </t>
    </r>
    <r>
      <rPr>
        <sz val="8"/>
        <rFont val="Times New Roman"/>
        <family val="1"/>
      </rPr>
      <t>excludes non-recurring costs for Euro 1.8 million and includes an income of Euro 9.8 million, as pro-rata portion of the accounting compensation for the early termination of the Gucci license, equal to Euro 39 million for the full year 2018.</t>
    </r>
  </si>
  <si>
    <r>
      <t>In Q1 2018</t>
    </r>
    <r>
      <rPr>
        <sz val="9"/>
        <rFont val="Times New Roman"/>
        <family val="1"/>
      </rPr>
      <t>, the adjusted EBITDA excludes non-recurring costs for Euro 1.7 million, mainly related to the CEO succession plan, and it includes an income of Euro 9.8 million, as pro-rata portion of the accounting compensation for the early termination of the Gucci license, equal to Euro 39 million for the full year 2018.</t>
    </r>
  </si>
  <si>
    <r>
      <rPr>
        <b/>
        <sz val="9"/>
        <rFont val="Times New Roman"/>
        <family val="1"/>
      </rPr>
      <t>In Q4 2017</t>
    </r>
    <r>
      <rPr>
        <sz val="9"/>
        <rFont val="Times New Roman"/>
        <family val="1"/>
      </rPr>
      <t>, the adjusted EBITDA excludes non-recurring costs for a total of Euro 10.9 million related to cost saving and restructuring initiatives and to some legal litigations, and it includes an income of Euro 10.8 million, as a pro-rata portion of the accounting compensation for the early termination of the Gucci license, equal to Euro 43 million for the full year 2017.</t>
    </r>
  </si>
  <si>
    <r>
      <rPr>
        <b/>
        <sz val="9"/>
        <rFont val="Times New Roman"/>
        <family val="1"/>
      </rPr>
      <t>In Q3 2017</t>
    </r>
    <r>
      <rPr>
        <sz val="9"/>
        <rFont val="Times New Roman"/>
        <family val="1"/>
      </rPr>
      <t>, the adjusted EBITDA excluded non-recurring costs of Euro 0.7 million related to overhead cost saving initiatives and included income of Euro 10.8 million as a pro-rata portion of the accounting compensation for the early termination of the Gucci license, equal to Euro 43 million for the full year 2017.</t>
    </r>
  </si>
  <si>
    <r>
      <rPr>
        <b/>
        <sz val="9"/>
        <rFont val="Times New Roman"/>
        <family val="1"/>
      </rPr>
      <t>In Q2 2017</t>
    </r>
    <r>
      <rPr>
        <sz val="9"/>
        <rFont val="Times New Roman"/>
        <family val="1"/>
      </rPr>
      <t>, the adjusted EBITDA excludes non-recurring costs for Euro 0.4 million related to overhead cost saving initiatives, and it includes an income of Euro 10.8 million, as pro-rata portion of the accounting compensation for the early termination of the Gucci license, equal to Euro 43 million for the full year 2017.</t>
    </r>
  </si>
  <si>
    <r>
      <rPr>
        <b/>
        <sz val="9"/>
        <rFont val="Times New Roman"/>
        <family val="1"/>
      </rPr>
      <t>In Q1 2017</t>
    </r>
    <r>
      <rPr>
        <sz val="9"/>
        <rFont val="Times New Roman"/>
        <family val="1"/>
      </rPr>
      <t>, the adjusted EBITDA excludes non-recurring costs for Euro 3.3 million, mainly related to the reorganization of the Ormoz plant in Slovenia and other overhead cost saving initiatives, and it includes an income of Euro 10.8 million, as pro-rata portion of the accounting compensation for the early termination of the Gucci license, equal to Euro 43 million for the full year 2017.</t>
    </r>
  </si>
  <si>
    <r>
      <rPr>
        <b/>
        <sz val="9"/>
        <rFont val="Times New Roman"/>
        <family val="1"/>
      </rPr>
      <t>In Q4 2016</t>
    </r>
    <r>
      <rPr>
        <sz val="9"/>
        <rFont val="Times New Roman"/>
        <family val="1"/>
      </rPr>
      <t>, the adjusted EBITDA excludes non-recurring restructuring costs for a total of Euro 1.5 million and includes an income of Euro 8 million related to part of the total Euro 90 million accounting compensation for the early termination of the Gucci license, and an expense of Euro 4 million related to the final acceleration to P&amp;L of Gucci prepaid royalties.</t>
    </r>
  </si>
  <si>
    <r>
      <rPr>
        <b/>
        <sz val="9"/>
        <rFont val="Times New Roman"/>
        <family val="1"/>
      </rPr>
      <t>In Q3 2016</t>
    </r>
    <r>
      <rPr>
        <sz val="9"/>
        <rFont val="Times New Roman"/>
        <family val="1"/>
      </rPr>
      <t>, the adjusted EBITDA excludes non-recurring costs for Euro 0.3 million related to overhead cost saving initiatives, such as the planned integration of Vale of Leven (Scotland) Polaroid lens production into Safilo’s China based corporate supply network.</t>
    </r>
  </si>
  <si>
    <r>
      <rPr>
        <b/>
        <sz val="9"/>
        <rFont val="Times New Roman"/>
        <family val="1"/>
      </rPr>
      <t>In Q2 2016</t>
    </r>
    <r>
      <rPr>
        <sz val="9"/>
        <rFont val="Times New Roman"/>
        <family val="1"/>
      </rPr>
      <t>, the adjusted EBITDA excludes non-recurring items for Euro 0.7 million related to overhead cost saving initiatives, such as the planned integration of Vale of Leven (Scotland) Polaroid lens production into Safilo’s China based corporate supply network.</t>
    </r>
  </si>
  <si>
    <r>
      <rPr>
        <b/>
        <sz val="9"/>
        <rFont val="Times New Roman"/>
        <family val="1"/>
      </rPr>
      <t xml:space="preserve">In Q1 2016, </t>
    </r>
    <r>
      <rPr>
        <sz val="9"/>
        <rFont val="Times New Roman"/>
        <family val="1"/>
      </rPr>
      <t>the adjusted EBITDA excludes non-recurring costs for Euro 4.2 million related to overhead cost saving initiatives, such as the planned integration of Vale of Leven (Scotland) Polaroid lens production into Safilo’s China based corporate supply network, and for Euro 1.2 million related to commercial restructuring cost in the EMEA region.</t>
    </r>
  </si>
  <si>
    <r>
      <rPr>
        <b/>
        <sz val="9"/>
        <rFont val="Times New Roman"/>
        <family val="1"/>
      </rPr>
      <t>In Q4 2015</t>
    </r>
    <r>
      <rPr>
        <sz val="9"/>
        <rFont val="Times New Roman"/>
        <family val="1"/>
      </rPr>
      <t>, the adjusted EBITDA excludes non-recurring costs for Euro 17.0 million related to a provision for other risks and charges in relation to the litigation with the French Competition Authority, and other non recurring costs for Euro 0.7 million mainly related to the consolidation of the Group’s North American distribution network into its Denver facility. The adjusted economic results also exclude an impairment charge on goodwill for Euro 40.5 million.</t>
    </r>
  </si>
  <si>
    <r>
      <rPr>
        <b/>
        <sz val="9"/>
        <rFont val="Times New Roman"/>
        <family val="1"/>
      </rPr>
      <t>In Q2 2015</t>
    </r>
    <r>
      <rPr>
        <sz val="9"/>
        <rFont val="Times New Roman"/>
        <family val="1"/>
      </rPr>
      <t>, the adjusted EBITDA excludes non-recurring costs for Euro 1.2 million mainly related to the consolidation of the Group’s North American distribution network into its Denver facility.</t>
    </r>
  </si>
  <si>
    <r>
      <rPr>
        <b/>
        <sz val="9"/>
        <rFont val="Times New Roman"/>
        <family val="1"/>
      </rPr>
      <t>In Q1 2015</t>
    </r>
    <r>
      <rPr>
        <sz val="9"/>
        <rFont val="Times New Roman"/>
        <family val="1"/>
      </rPr>
      <t xml:space="preserve">, the adjusted EBITDA excludes non-recurring costs for Euro 1.2 million related to commercial restructuring costs in the EMEA region. </t>
    </r>
  </si>
  <si>
    <r>
      <rPr>
        <b/>
        <sz val="9"/>
        <rFont val="Times New Roman"/>
        <family val="1"/>
      </rPr>
      <t>In Q4 2014</t>
    </r>
    <r>
      <rPr>
        <sz val="9"/>
        <rFont val="Times New Roman"/>
        <family val="1"/>
      </rPr>
      <t>, the adjusted EBITDA excludes non-recurring costs for Euro 2.2 million related to Executive Officers succession plans and to Smith Sport Optics restructuring for Euro 2.5 million.</t>
    </r>
  </si>
  <si>
    <r>
      <rPr>
        <b/>
        <sz val="9"/>
        <color indexed="8"/>
        <rFont val="Times New Roman"/>
        <family val="1"/>
      </rPr>
      <t xml:space="preserve">In Q2 2014,  </t>
    </r>
    <r>
      <rPr>
        <sz val="9"/>
        <color indexed="8"/>
        <rFont val="Times New Roman"/>
        <family val="1"/>
      </rPr>
      <t>the adjusted EBITDA excludes non-recurring costs for Euro 3.0 million related to employees due to both reorganization costs and the voluntary exit agreements for some employees of the Italian plants.</t>
    </r>
  </si>
  <si>
    <r>
      <rPr>
        <b/>
        <sz val="9"/>
        <rFont val="Times New Roman"/>
        <family val="1"/>
      </rPr>
      <t xml:space="preserve">In Q4 2013, </t>
    </r>
    <r>
      <rPr>
        <sz val="9"/>
        <rFont val="Times New Roman"/>
        <family val="1"/>
      </rPr>
      <t xml:space="preserve"> the adjusted EBITDA excludes non-recurring costs for Euro 0.2 million related to the CEO succession plan and other restructuring costs for Euro 2.5 million. </t>
    </r>
  </si>
  <si>
    <r>
      <rPr>
        <b/>
        <sz val="9"/>
        <rFont val="Times New Roman"/>
        <family val="1"/>
      </rPr>
      <t xml:space="preserve">In Q2 2013, </t>
    </r>
    <r>
      <rPr>
        <sz val="9"/>
        <rFont val="Times New Roman"/>
        <family val="1"/>
      </rPr>
      <t>the adjusted EBITDA excludes non-recurring costs for 6 million Euro related the CEO succession plan and other restructuring costs for 1.4 million Euro.</t>
    </r>
  </si>
  <si>
    <r>
      <rPr>
        <b/>
        <sz val="9"/>
        <rFont val="Times New Roman"/>
        <family val="1"/>
      </rPr>
      <t>In Q2 2009</t>
    </r>
    <r>
      <rPr>
        <sz val="9"/>
        <rFont val="Times New Roman"/>
        <family val="1"/>
      </rPr>
      <t xml:space="preserve">, the adjusted EBITDA excludes non-recurring costs of Euro 7.4 million related to a provision for non recurring costs related to the industrial reorganisation plan. </t>
    </r>
  </si>
  <si>
    <t xml:space="preserve">  </t>
  </si>
  <si>
    <t>P&amp;L_Highlights</t>
  </si>
  <si>
    <t>Complete P&amp;L</t>
  </si>
  <si>
    <t xml:space="preserve">Q4 2018 °°
</t>
  </si>
  <si>
    <t xml:space="preserve">9M 2018 °°
</t>
  </si>
  <si>
    <t xml:space="preserve">Q3 2018 °°
</t>
  </si>
  <si>
    <t xml:space="preserve">Q2 2018 °°
</t>
  </si>
  <si>
    <t xml:space="preserve">Q1 2018 °°
</t>
  </si>
  <si>
    <t xml:space="preserve">Q1 2019 °°
</t>
  </si>
  <si>
    <t xml:space="preserve">Q2 2019 °°
</t>
  </si>
  <si>
    <t xml:space="preserve">H1 2019 °°
 </t>
  </si>
  <si>
    <t xml:space="preserve">H1 2018 °°
</t>
  </si>
  <si>
    <t xml:space="preserve">H1 2018 
</t>
  </si>
  <si>
    <t xml:space="preserve">H1 2019 
</t>
  </si>
  <si>
    <t xml:space="preserve">2019 °°
</t>
  </si>
  <si>
    <t xml:space="preserve">2018 °°
 </t>
  </si>
  <si>
    <t xml:space="preserve">2019 
</t>
  </si>
  <si>
    <t xml:space="preserve">2018 
</t>
  </si>
  <si>
    <t xml:space="preserve">2019 economics provided with reference to the Group's Continuing Operations only, excluding the US retail business Solstice, sold on July 1st 2019. 2018 economics are also re-exposed on the Continuing Operations only, in order to allow an adequate comparison.
2019 results also include the impacts of the accounting standard IFRS 16, effective from January 1, 2019, without the restatement of 2018 comparative information. </t>
  </si>
  <si>
    <t xml:space="preserve">H1 2019 economics provided with reference to the Group's Continuing Operations, excluding the US retail business Solstice, sold on July 1st 2019. H1 2018 economics are also re-exposed on the Continuing Operations only, in order to allow an adequate comparison.
H1 2019 results also include the impacts of the accounting standard IFRS 16, effective from January 1, 2019, without the restatement of H1 2018 comparative information. </t>
  </si>
  <si>
    <t>n.a.</t>
  </si>
  <si>
    <t>(28.1)*</t>
  </si>
  <si>
    <t>6.2*</t>
  </si>
  <si>
    <t>* In 2008, (Increase)/decrease in trade receivables and in other receivables; Increase (decrease) in trade payables and in other payables</t>
  </si>
  <si>
    <t xml:space="preserve">Net invested capital </t>
  </si>
  <si>
    <t>Tangible fixed assets &amp; Right of use</t>
  </si>
  <si>
    <t>Source of financing</t>
  </si>
  <si>
    <t>9M 2019°°</t>
  </si>
  <si>
    <t> - Gains/(losses) on liabilities for options on non-controlling interests</t>
  </si>
  <si>
    <t>Q4 2020</t>
  </si>
  <si>
    <r>
      <t xml:space="preserve">In Q4 2020, </t>
    </r>
    <r>
      <rPr>
        <sz val="9"/>
        <rFont val="Times New Roman"/>
        <family val="1"/>
      </rPr>
      <t>the adjusted EBITDA excludes non-recurring costs for Euro 9.3 million, due to restructuring expenses related to the ongoing cost saving plan and to charges due to the termination of activities related to exiting licensed brands.</t>
    </r>
  </si>
  <si>
    <t> - Liabilities for options on non-controlling interests</t>
  </si>
  <si>
    <t>Cash flow from operating activities prior to changes in WC</t>
  </si>
  <si>
    <t xml:space="preserve">Cash flow from operating activities </t>
  </si>
  <si>
    <t>Cash flow from investing activities</t>
  </si>
  <si>
    <t>Cash flow from repayment principal portion of IFRS 16 lease liabilities</t>
  </si>
  <si>
    <t>Cash flow for/from acquisitions/disinvestments</t>
  </si>
  <si>
    <t> - (Purchase)/Disposal of subsidiary (net of cash acquired/disposed)</t>
  </si>
  <si>
    <t xml:space="preserve"> - Repayment ofprincipal portion of lease liabilities IFRS 16 </t>
  </si>
  <si>
    <t xml:space="preserve"> - Non-monetary changes related to liabilities for options on non-controlling interests</t>
  </si>
  <si>
    <t> - Other items</t>
  </si>
  <si>
    <t>The new accounting standard IFRS 15 regarding “Revenue from contracts with customers” entered into effect starting from 1 January 2018. Following the fully retrospective approach chosen by the Group, the application of the principle to FY 2017 total net sales had an adjustment effect on the sales and cost of goods sold equal to Euro 11.6 million.</t>
  </si>
  <si>
    <t xml:space="preserve">The new accounting standard IFRS 15 regarding “Revenue from contracts with customers” entered into effect starting from 1 January 2018. Following the fully retrospective approach chosen by the Group, the application of the principle to the first semester of 2018, had an adjustment effect on the sales and cost of goods sold of the same period of 2017 equal to Euro 5.4 million. </t>
  </si>
  <si>
    <t xml:space="preserve">The new accounting standard IFRS 15 regarding “Revenue from contracts with customers” entered into effect starting from 1 January 2018. Following the fully retrospective approach chosen by the Group, the application of the principle to 2018, had an adjustment effect on the sales and cost of goods sold of the same periods of 2017 equal to Euro 4.4, 1.8, 2.7 and 2.7 million, respectively in Q4,Q3, Q2 and Q1 2017. </t>
  </si>
  <si>
    <t xml:space="preserve">2019 quarterly economics provided with reference to the Group's Continuing Operations only, excluding the US retail business Solstice, sold on July 1st 2019. 2018 quarterly economics are also re-exposed on the Continuing Operations only, in order to allow an adequate comparison. 2019 results also include the impacts of the accounting standard IFRS 16, effective from January 1, 2019, without the restatement of 2018 comparative information. </t>
  </si>
  <si>
    <t>Intangible fixed assets and goodwill</t>
  </si>
  <si>
    <t>Q1 2021</t>
  </si>
  <si>
    <r>
      <t>In Q1 2020</t>
    </r>
    <r>
      <rPr>
        <sz val="9"/>
        <rFont val="Times New Roman"/>
        <family val="1"/>
      </rPr>
      <t>, the adjusted economic results excludes non-recurring costs for Euro 2.7 million (Euro 2.4 million at the EBITDA level) due to restructuring expenses related to the cost saving program</t>
    </r>
  </si>
  <si>
    <t>% on net sales</t>
  </si>
  <si>
    <t>H1 2021</t>
  </si>
  <si>
    <t>Q2 2021</t>
  </si>
  <si>
    <t>June 30 2021</t>
  </si>
  <si>
    <r>
      <rPr>
        <b/>
        <sz val="8"/>
        <color theme="1"/>
        <rFont val="Arial"/>
        <family val="2"/>
      </rPr>
      <t>In H1 2021</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19.3 million (Euro 8.4 million at the gross profit level, and Euro 15.6 million at the EBITDA level), mainly related to the announced closure, starting from June 2021, of the Ormož production plant in Slovenia, and also a non-recurring income of Euro 17 million due to the release of a provision for risks and charges booked in 2015 in relation to an investigation by the French Competition Authority. The release is a result of the positive outcome, without sanctions, of this investigation.</t>
    </r>
  </si>
  <si>
    <r>
      <t>In Q2 2021</t>
    </r>
    <r>
      <rPr>
        <sz val="9"/>
        <rFont val="Times New Roman"/>
        <family val="1"/>
      </rPr>
      <t>, the adjusted EBITDA</t>
    </r>
    <r>
      <rPr>
        <u/>
        <sz val="9"/>
        <rFont val="Times New Roman"/>
        <family val="1"/>
      </rPr>
      <t xml:space="preserve"> </t>
    </r>
    <r>
      <rPr>
        <sz val="9"/>
        <rFont val="Times New Roman"/>
        <family val="1"/>
      </rPr>
      <t>excludes non-recurring costs for Euro 3.2 million (Euro 3.8 million at the gross profit level), and a non-recurring income of Euro 17 million due to the release of a provision for risks and charges booked in 2015 in relation to an investigation by the French Competition Authority. The release is a result of the positive outcome, without sanctions, of this investigation.</t>
    </r>
  </si>
  <si>
    <r>
      <t>In Q1 2021</t>
    </r>
    <r>
      <rPr>
        <sz val="9"/>
        <rFont val="Times New Roman"/>
        <family val="1"/>
      </rPr>
      <t>, the adjusted EBITDA excludes non-recurring costs for Euro 12.4 million (Euro 4.6 million at the gross profit level), mainly due to the announced closure, starting from June 2021, of the Ormoz production plant in Slovenia.</t>
    </r>
  </si>
  <si>
    <r>
      <t>In Q3 2021</t>
    </r>
    <r>
      <rPr>
        <sz val="9"/>
        <rFont val="Times New Roman"/>
        <family val="1"/>
      </rPr>
      <t>, the adjusted EBITDA</t>
    </r>
    <r>
      <rPr>
        <u/>
        <sz val="9"/>
        <rFont val="Times New Roman"/>
        <family val="1"/>
      </rPr>
      <t xml:space="preserve"> </t>
    </r>
    <r>
      <rPr>
        <sz val="9"/>
        <rFont val="Times New Roman"/>
        <family val="1"/>
      </rPr>
      <t>excludes non-recurring costs for Euro 1.7 million (Euro 1.8 million at the gross profit level).</t>
    </r>
  </si>
  <si>
    <t>9M 2021</t>
  </si>
  <si>
    <t>Q3 2021</t>
  </si>
  <si>
    <t>2020 restated °°°</t>
  </si>
  <si>
    <t>°°°</t>
  </si>
  <si>
    <r>
      <t>In Q4 2021</t>
    </r>
    <r>
      <rPr>
        <sz val="9"/>
        <rFont val="Times New Roman"/>
        <family val="1"/>
      </rPr>
      <t>, the adjusted EBITDA excluded non-recurring costs for Euro 1.8 million (Euro 0.7 million at the gross profit level).</t>
    </r>
  </si>
  <si>
    <t>Q4 2021</t>
  </si>
  <si>
    <t>Q4 2020 restated°°°</t>
  </si>
  <si>
    <r>
      <rPr>
        <b/>
        <sz val="8"/>
        <color theme="1"/>
        <rFont val="Arial"/>
        <family val="2"/>
      </rPr>
      <t>In 2020</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25.5 million (Euro 21.1 million at the EBITDA level) due to restructuring expenses related to the ongoing cost saving plan for Euro 16.6 million, and to charges due to the termination of activities related to exiting licensed brands, such as write-offs of industrial assets, for Euro 8.9 million. At the net result level, there is a positive tax effect on the non-recurring costs themselves of Euro 2.7 million. </t>
    </r>
  </si>
  <si>
    <r>
      <rPr>
        <b/>
        <sz val="8"/>
        <color theme="1"/>
        <rFont val="Arial"/>
        <family val="2"/>
      </rPr>
      <t>In 2021</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23.8 million (Euro 10.9 million at the gross profit level, and Euro 19.2 million at the EBITDA level), mainly related to the closure of the Ormož production plant in Slovenia, and also a non-recurring income of Euro 17 million due to the release, booked in Q2 2021, of a provision for risks and charges in relation to an investigation by the French Competition Authority. The release was a result of the positive outcome, without sanctions, of this investigation.</t>
    </r>
  </si>
  <si>
    <t>2020 restated</t>
  </si>
  <si>
    <t>2020 restatement refers to the change in accounting policy related to the IFRIC SaaS Agenda on the capitalization of configuration and customization costs for application software under ‘Software as a Service’ (‘SaaS’) arrangements (see also excell sheet on IFRIC SaaS agenda)</t>
  </si>
  <si>
    <t>Q1 2022</t>
  </si>
  <si>
    <r>
      <t>In Q1 2022</t>
    </r>
    <r>
      <rPr>
        <sz val="9"/>
        <rFont val="Times New Roman"/>
        <family val="1"/>
      </rPr>
      <t>, the adjusted EBITDA excluded non-recurring costs for Euro 3.3 million related to some special projects and restructuring expenses.</t>
    </r>
  </si>
  <si>
    <t>H1 2022</t>
  </si>
  <si>
    <r>
      <rPr>
        <b/>
        <sz val="8"/>
        <color theme="1"/>
        <rFont val="Arial"/>
        <family val="2"/>
      </rPr>
      <t>In H1 2022</t>
    </r>
    <r>
      <rPr>
        <sz val="8"/>
        <color theme="1"/>
        <rFont val="Arial"/>
        <family val="2"/>
      </rPr>
      <t xml:space="preserve">, </t>
    </r>
    <r>
      <rPr>
        <sz val="8"/>
        <rFont val="Arial"/>
        <family val="2"/>
      </rPr>
      <t>the adjusted economic results excluded net non-recurring costs for Euro 1.2 million (Euro 0.6 million at the EBITDA level) due to some special projects costs and restructuring expenses, almost fully offset by the release of a restructuring provision.</t>
    </r>
  </si>
  <si>
    <t>June 30 2022</t>
  </si>
  <si>
    <t>Q2 2022</t>
  </si>
  <si>
    <t>Q3 2022</t>
  </si>
  <si>
    <t>9M 2022</t>
  </si>
  <si>
    <r>
      <t xml:space="preserve">In Q2 2022, </t>
    </r>
    <r>
      <rPr>
        <sz val="9"/>
        <rFont val="Times New Roman"/>
        <family val="1"/>
      </rPr>
      <t>the adjusted EBITDA excluded a net non-recurring income for Euro 2.7 million related to the release of a restructuring provision, net of some other non-recurring expenses of the period.</t>
    </r>
  </si>
  <si>
    <r>
      <t xml:space="preserve">In Q3 2022, </t>
    </r>
    <r>
      <rPr>
        <sz val="9"/>
        <rFont val="Times New Roman"/>
        <family val="1"/>
      </rPr>
      <t>the adjusted EBITDA excluded a net non-recurring cost for Euro 1.1 million.</t>
    </r>
  </si>
  <si>
    <t>Q4 2022</t>
  </si>
  <si>
    <r>
      <t xml:space="preserve">In Q4 2022, </t>
    </r>
    <r>
      <rPr>
        <sz val="9"/>
        <rFont val="Times New Roman"/>
        <family val="1"/>
      </rPr>
      <t>the adjusted EBITDA excluded a net non-recurring cost for Euro 2.7 million.</t>
    </r>
  </si>
  <si>
    <r>
      <rPr>
        <b/>
        <sz val="8"/>
        <color theme="1"/>
        <rFont val="Arial"/>
        <family val="2"/>
      </rPr>
      <t>In 2022</t>
    </r>
    <r>
      <rPr>
        <sz val="8"/>
        <color theme="1"/>
        <rFont val="Arial"/>
        <family val="2"/>
      </rPr>
      <t xml:space="preserve">, the adjusted economic results </t>
    </r>
    <r>
      <rPr>
        <u/>
        <sz val="8"/>
        <color theme="1"/>
        <rFont val="Arial"/>
        <family val="2"/>
      </rPr>
      <t>exclude</t>
    </r>
    <r>
      <rPr>
        <sz val="8"/>
        <color theme="1"/>
        <rFont val="Arial"/>
        <family val="2"/>
      </rPr>
      <t xml:space="preserve"> non-recurring costs for Euro 5.0 million (Euro 4.4 million at the EBITDA level), due to some special projects costs and restructuring expenses, partially offset by the release of a restructuring provision.</t>
    </r>
  </si>
  <si>
    <t>H1 2023</t>
  </si>
  <si>
    <t>Adjusted Gross Profit *</t>
  </si>
  <si>
    <r>
      <rPr>
        <b/>
        <sz val="8"/>
        <color theme="1"/>
        <rFont val="Arial"/>
        <family val="2"/>
      </rPr>
      <t>In H1 2023</t>
    </r>
    <r>
      <rPr>
        <sz val="8"/>
        <color theme="1"/>
        <rFont val="Arial"/>
        <family val="2"/>
      </rPr>
      <t xml:space="preserve">, </t>
    </r>
    <r>
      <rPr>
        <sz val="8"/>
        <rFont val="Arial"/>
        <family val="2"/>
      </rPr>
      <t>the adjusted economic results exclude non-recurring costs for Euro 16.2 million at the EBIT level (Euro 12.7 million at the EBITDA level and Euro 5.0 million at the gross profit level) mainly related to the announced project to transfer the Longarone plant to third parties, to some special projects and restructuring expenses</t>
    </r>
  </si>
  <si>
    <t>Q2 2023</t>
  </si>
  <si>
    <t>Q1 2023</t>
  </si>
  <si>
    <r>
      <t>In Q2 2023</t>
    </r>
    <r>
      <rPr>
        <sz val="9"/>
        <rFont val="Times New Roman"/>
        <family val="1"/>
      </rPr>
      <t>,</t>
    </r>
    <r>
      <rPr>
        <b/>
        <sz val="9"/>
        <rFont val="Times New Roman"/>
        <family val="1"/>
      </rPr>
      <t xml:space="preserve"> </t>
    </r>
    <r>
      <rPr>
        <sz val="9"/>
        <rFont val="Times New Roman"/>
        <family val="1"/>
      </rPr>
      <t>the adjusted economic results excluded non-recurring costs for Euro 9.6 million at the EBITDA level and Euro 4.5 million at the gross profit level, related to the announced project to transfer the Longarone plant to third parties.</t>
    </r>
  </si>
  <si>
    <r>
      <t>In Q1 2023</t>
    </r>
    <r>
      <rPr>
        <sz val="9"/>
        <rFont val="Times New Roman"/>
        <family val="1"/>
      </rPr>
      <t>,</t>
    </r>
    <r>
      <rPr>
        <b/>
        <sz val="9"/>
        <rFont val="Times New Roman"/>
        <family val="1"/>
      </rPr>
      <t xml:space="preserve"> </t>
    </r>
    <r>
      <rPr>
        <sz val="9"/>
        <rFont val="Times New Roman"/>
        <family val="1"/>
      </rPr>
      <t>the adjusted economic results excluded non-recurring costs for Euro 3.1 million at the EBITDA level related to some special projects and restructuring expenses.</t>
    </r>
  </si>
  <si>
    <t>June 30 2023</t>
  </si>
  <si>
    <t>Q3 2023</t>
  </si>
  <si>
    <t>9M 2023</t>
  </si>
  <si>
    <r>
      <t>In Q3 2023</t>
    </r>
    <r>
      <rPr>
        <sz val="9"/>
        <rFont val="Times New Roman"/>
        <family val="1"/>
      </rPr>
      <t>,</t>
    </r>
    <r>
      <rPr>
        <b/>
        <sz val="9"/>
        <rFont val="Times New Roman"/>
        <family val="1"/>
      </rPr>
      <t xml:space="preserve"> </t>
    </r>
    <r>
      <rPr>
        <sz val="9"/>
        <rFont val="Times New Roman"/>
        <family val="1"/>
      </rPr>
      <t>the adjusted economic results excluded non-recurring costs for Euro 4.7 million at the EBITDA level and Euro 3.1 million at the gross profit level, mainly related to the transfer of the Longarone plant.</t>
    </r>
  </si>
  <si>
    <t>Adjusted gross profit*</t>
  </si>
  <si>
    <r>
      <rPr>
        <b/>
        <sz val="9"/>
        <rFont val="Times New Roman"/>
        <family val="1"/>
      </rPr>
      <t>In 2023</t>
    </r>
    <r>
      <rPr>
        <sz val="9"/>
        <rFont val="Times New Roman"/>
        <family val="1"/>
      </rPr>
      <t xml:space="preserve">, the adjusted economic results </t>
    </r>
    <r>
      <rPr>
        <u/>
        <sz val="9"/>
        <rFont val="Times New Roman"/>
        <family val="1"/>
      </rPr>
      <t>exclude</t>
    </r>
    <r>
      <rPr>
        <sz val="9"/>
        <rFont val="Times New Roman"/>
        <family val="1"/>
      </rPr>
      <t xml:space="preserve"> non-recurring costs for Euro 41.9 million at the EBIT level, Euro 29.1 million at the EBITDA level and Euro 16.0 million at the gross profit level, mainly related to the disposal of the Longarone plant, to some other restructuring costs, and in the fourth quarter, also to the termination of activities related to exiting licensed brands and to a </t>
    </r>
    <r>
      <rPr>
        <sz val="10"/>
        <rFont val="Times New Roman"/>
        <family val="1"/>
      </rPr>
      <t xml:space="preserve"> </t>
    </r>
    <r>
      <rPr>
        <sz val="9"/>
        <rFont val="Times New Roman"/>
        <family val="1"/>
      </rPr>
      <t>partial write-down of some intangible assets related to a previous acquisition.</t>
    </r>
  </si>
  <si>
    <t>Q4 2023</t>
  </si>
  <si>
    <t>31 dicembre 2023</t>
  </si>
  <si>
    <t>December 31, 2023</t>
  </si>
  <si>
    <t>December 31, 2022</t>
  </si>
  <si>
    <t>December 31, 2021</t>
  </si>
  <si>
    <t>December 31, 2020 restated °°°</t>
  </si>
  <si>
    <t>December 31, 2020</t>
  </si>
  <si>
    <t>December 31, 2019</t>
  </si>
  <si>
    <t>December 31, 2018</t>
  </si>
  <si>
    <t>December 31, 2017</t>
  </si>
  <si>
    <t>December 31, 2016</t>
  </si>
  <si>
    <t>December 31, 2015</t>
  </si>
  <si>
    <t>December 31, 2014</t>
  </si>
  <si>
    <t>December 31, 2013</t>
  </si>
  <si>
    <t>December 31, 2012</t>
  </si>
  <si>
    <t>December 31, 2011</t>
  </si>
  <si>
    <t>December 31, 2010</t>
  </si>
  <si>
    <t>December 31, 2009</t>
  </si>
  <si>
    <t>December 31, 2008</t>
  </si>
  <si>
    <r>
      <t>In Q4 2023</t>
    </r>
    <r>
      <rPr>
        <sz val="9"/>
        <rFont val="Times New Roman"/>
        <family val="1"/>
      </rPr>
      <t>,</t>
    </r>
    <r>
      <rPr>
        <b/>
        <sz val="9"/>
        <rFont val="Times New Roman"/>
        <family val="1"/>
      </rPr>
      <t xml:space="preserve"> </t>
    </r>
    <r>
      <rPr>
        <sz val="9"/>
        <rFont val="Times New Roman"/>
        <family val="1"/>
      </rPr>
      <t>the adjusted economic results excluded non-recurring costs for Euro 11.7 million at the EBITDA level and Euro 7.9 million at the gross profit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</si>
</sst>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0.0"/>
    <numFmt numFmtId="166" formatCode="0.0_);\(0.0\)"/>
    <numFmt numFmtId="167" formatCode="_(* #,##0.0_);_(* \(#,##0.0\);_(* &quot;-&quot;??_);_(@_)"/>
    <numFmt numFmtId="168" formatCode="_(* #,##0_);_(* \(#,##0\);_(* &quot;-&quot;??_);_(@_)"/>
    <numFmt numFmtId="169" formatCode="0.0;\(0.0\)"/>
    <numFmt numFmtId="170" formatCode="0.000_);\(0.000\)"/>
    <numFmt numFmtId="171" formatCode="_-* #,##0.0_-;\-* #,##0.0_-;_-* &quot;-&quot;??_-;_-@_-"/>
    <numFmt numFmtId="172" formatCode="#,##0.0"/>
    <numFmt numFmtId="173" formatCode="dd/mm/yy;@"/>
    <numFmt numFmtId="174" formatCode="#,##0.0;\(#,##0.0\)"/>
    <numFmt numFmtId="175" formatCode="_(* #,##0.0_);_(* \(#,##0.0\);_(* &quot;-&quot;_);_(@_)"/>
    <numFmt numFmtId="176" formatCode="0.0%"/>
    <numFmt numFmtId="177" formatCode="_(* #,##0_);_(* \(#,##0\);_(* &quot;-&quot;_);_(@_)"/>
    <numFmt numFmtId="182" formatCode="_-* #,##0_-;\-* #,##0_-;_-* &quot;-&quot;??_-;_-@_-"/>
  </numFmts>
  <fonts count="34" x14ac:knownFonts="1">
    <font>
      <sz val="10"/>
      <name val="Arial"/>
    </font>
    <font>
      <sz val="10"/>
      <name val="Arial"/>
      <family val="2"/>
    </font>
    <font>
      <sz val="10"/>
      <name val="Arial"/>
      <family val="2"/>
    </font>
    <font>
      <b/>
      <sz val="20"/>
      <color indexed="48"/>
      <name val="Arial"/>
      <family val="2"/>
    </font>
    <font>
      <b/>
      <sz val="12"/>
      <name val="Arial"/>
      <family val="2"/>
    </font>
    <font>
      <sz val="8"/>
      <name val="Arial"/>
      <family val="2"/>
    </font>
    <font>
      <i/>
      <sz val="10"/>
      <name val="Arial"/>
      <family val="2"/>
    </font>
    <font>
      <sz val="10"/>
      <name val="Arial"/>
      <family val="2"/>
    </font>
    <font>
      <b/>
      <i/>
      <sz val="10"/>
      <name val="Arial"/>
      <family val="2"/>
    </font>
    <font>
      <b/>
      <sz val="10"/>
      <name val="Arial"/>
      <family val="2"/>
    </font>
    <font>
      <i/>
      <sz val="8"/>
      <name val="Arial"/>
      <family val="2"/>
    </font>
    <font>
      <sz val="8"/>
      <color indexed="18"/>
      <name val="Arial"/>
      <family val="2"/>
    </font>
    <font>
      <u/>
      <sz val="8"/>
      <name val="Arial"/>
      <family val="2"/>
    </font>
    <font>
      <b/>
      <sz val="8"/>
      <name val="Arial"/>
      <family val="2"/>
    </font>
    <font>
      <sz val="8"/>
      <name val="Times New Roman"/>
      <family val="1"/>
    </font>
    <font>
      <sz val="9"/>
      <name val="Arial"/>
      <family val="2"/>
    </font>
    <font>
      <sz val="10"/>
      <color theme="1"/>
      <name val="Arial"/>
      <family val="2"/>
    </font>
    <font>
      <b/>
      <sz val="10"/>
      <color theme="1"/>
      <name val="Arial"/>
      <family val="2"/>
    </font>
    <font>
      <i/>
      <sz val="10"/>
      <color theme="1"/>
      <name val="Arial"/>
      <family val="2"/>
    </font>
    <font>
      <b/>
      <sz val="12"/>
      <color theme="1"/>
      <name val="Arial"/>
      <family val="2"/>
    </font>
    <font>
      <sz val="8"/>
      <color theme="1"/>
      <name val="Arial"/>
      <family val="2"/>
    </font>
    <font>
      <b/>
      <sz val="8"/>
      <color theme="1"/>
      <name val="Arial"/>
      <family val="2"/>
    </font>
    <font>
      <u/>
      <sz val="8"/>
      <color theme="1"/>
      <name val="Arial"/>
      <family val="2"/>
    </font>
    <font>
      <b/>
      <i/>
      <sz val="12"/>
      <name val="Arial"/>
      <family val="2"/>
    </font>
    <font>
      <i/>
      <sz val="9"/>
      <name val="Arial"/>
      <family val="2"/>
    </font>
    <font>
      <sz val="9"/>
      <name val="Times New Roman"/>
      <family val="1"/>
    </font>
    <font>
      <b/>
      <sz val="9"/>
      <name val="Times New Roman"/>
      <family val="1"/>
    </font>
    <font>
      <sz val="9"/>
      <color indexed="8"/>
      <name val="Times New Roman"/>
      <family val="1"/>
    </font>
    <font>
      <b/>
      <sz val="9"/>
      <color indexed="8"/>
      <name val="Times New Roman"/>
      <family val="1"/>
    </font>
    <font>
      <sz val="10"/>
      <color rgb="FFFF0000"/>
      <name val="Arial"/>
      <family val="2"/>
    </font>
    <font>
      <sz val="10"/>
      <name val="Arial"/>
      <family val="2"/>
    </font>
    <font>
      <u/>
      <sz val="9"/>
      <name val="Times New Roman"/>
      <family val="1"/>
    </font>
    <font>
      <sz val="10"/>
      <name val="Times New Roman"/>
      <family val="2"/>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bottom style="dashed">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s>
  <cellStyleXfs count="8">
    <xf numFmtId="0" fontId="0" fillId="0" borderId="0" applyNumberFormat="0"/>
    <xf numFmtId="164" fontId="2" fillId="0" borderId="0" applyFont="0" applyFill="0" applyBorder="0" applyAlignment="0" applyProtection="0"/>
    <xf numFmtId="0" fontId="1" fillId="0" borderId="0" applyNumberFormat="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0" fillId="0" borderId="0" applyFont="0" applyFill="0" applyBorder="0" applyAlignment="0" applyProtection="0"/>
    <xf numFmtId="177" fontId="32" fillId="0" borderId="0" applyFont="0" applyFill="0" applyBorder="0" applyAlignment="0" applyProtection="0"/>
  </cellStyleXfs>
  <cellXfs count="485">
    <xf numFmtId="0" fontId="0" fillId="0" borderId="0" xfId="0"/>
    <xf numFmtId="0" fontId="0" fillId="0" borderId="0" xfId="0" applyAlignment="1">
      <alignment horizontal="right"/>
    </xf>
    <xf numFmtId="0" fontId="3" fillId="0" borderId="0" xfId="0" applyFont="1"/>
    <xf numFmtId="0" fontId="3" fillId="0" borderId="0" xfId="0" applyFont="1" applyAlignment="1"/>
    <xf numFmtId="0" fontId="4" fillId="0" borderId="0" xfId="0" applyFont="1"/>
    <xf numFmtId="0" fontId="6" fillId="0" borderId="0" xfId="0" applyFont="1"/>
    <xf numFmtId="0" fontId="8" fillId="0" borderId="0" xfId="0" applyFont="1"/>
    <xf numFmtId="0" fontId="0" fillId="0" borderId="0" xfId="0" applyAlignment="1">
      <alignment vertical="center"/>
    </xf>
    <xf numFmtId="0" fontId="0" fillId="0" borderId="0" xfId="0" applyBorder="1" applyAlignment="1">
      <alignment horizontal="right"/>
    </xf>
    <xf numFmtId="0" fontId="0" fillId="0" borderId="0" xfId="0" applyBorder="1"/>
    <xf numFmtId="0" fontId="11" fillId="0" borderId="0" xfId="0" applyFont="1"/>
    <xf numFmtId="0" fontId="0" fillId="0" borderId="0" xfId="0" applyBorder="1" applyAlignment="1">
      <alignment vertical="center"/>
    </xf>
    <xf numFmtId="0" fontId="1" fillId="0" borderId="0" xfId="0" applyFont="1"/>
    <xf numFmtId="0" fontId="5" fillId="0" borderId="0" xfId="0" applyFont="1"/>
    <xf numFmtId="0" fontId="1" fillId="0" borderId="0" xfId="0" applyFont="1" applyBorder="1"/>
    <xf numFmtId="0" fontId="0" fillId="0" borderId="0" xfId="0" applyAlignment="1">
      <alignment horizontal="right" vertical="top"/>
    </xf>
    <xf numFmtId="0" fontId="0" fillId="0" borderId="0" xfId="0" applyAlignment="1">
      <alignment vertical="top"/>
    </xf>
    <xf numFmtId="0" fontId="1" fillId="0" borderId="1" xfId="0" applyFont="1" applyBorder="1" applyAlignment="1">
      <alignment vertical="center"/>
    </xf>
    <xf numFmtId="0" fontId="1" fillId="0" borderId="0" xfId="0" applyFont="1" applyAlignment="1">
      <alignment vertical="center"/>
    </xf>
    <xf numFmtId="0" fontId="16" fillId="0" borderId="0" xfId="0" applyFont="1"/>
    <xf numFmtId="0" fontId="16" fillId="2" borderId="0" xfId="0" applyFont="1" applyFill="1" applyAlignment="1">
      <alignment vertical="top"/>
    </xf>
    <xf numFmtId="0" fontId="19" fillId="0" borderId="0" xfId="0" applyFont="1"/>
    <xf numFmtId="0" fontId="16" fillId="0" borderId="0" xfId="0" applyFont="1" applyAlignment="1">
      <alignment vertical="top"/>
    </xf>
    <xf numFmtId="0" fontId="5" fillId="0" borderId="0" xfId="0" applyFont="1" applyFill="1" applyAlignment="1">
      <alignment horizontal="left" vertical="top" wrapText="1"/>
    </xf>
    <xf numFmtId="0" fontId="0" fillId="0" borderId="0" xfId="0" applyAlignment="1">
      <alignment vertical="top"/>
    </xf>
    <xf numFmtId="165" fontId="16" fillId="0" borderId="0" xfId="0" applyNumberFormat="1" applyFont="1" applyBorder="1" applyAlignment="1">
      <alignment horizontal="center"/>
    </xf>
    <xf numFmtId="0" fontId="16" fillId="0" borderId="0" xfId="0" applyFont="1" applyAlignment="1">
      <alignment horizontal="center"/>
    </xf>
    <xf numFmtId="0" fontId="18" fillId="0" borderId="0" xfId="0" applyFont="1" applyAlignment="1">
      <alignment horizontal="center"/>
    </xf>
    <xf numFmtId="169" fontId="16" fillId="2" borderId="0" xfId="0" applyNumberFormat="1" applyFont="1" applyFill="1" applyAlignment="1">
      <alignment horizontal="center"/>
    </xf>
    <xf numFmtId="165" fontId="0" fillId="2" borderId="0" xfId="0" applyNumberFormat="1" applyFill="1" applyBorder="1" applyAlignment="1">
      <alignment horizontal="center"/>
    </xf>
    <xf numFmtId="165" fontId="0" fillId="2" borderId="0" xfId="0" applyNumberFormat="1" applyFill="1" applyAlignment="1">
      <alignment horizontal="center"/>
    </xf>
    <xf numFmtId="165" fontId="6" fillId="2" borderId="0" xfId="0" applyNumberFormat="1" applyFont="1" applyFill="1" applyAlignment="1">
      <alignment horizontal="center"/>
    </xf>
    <xf numFmtId="169" fontId="1" fillId="2" borderId="0" xfId="0" applyNumberFormat="1" applyFont="1" applyFill="1" applyAlignment="1">
      <alignment horizontal="center"/>
    </xf>
    <xf numFmtId="0" fontId="4" fillId="2" borderId="0" xfId="0" applyFont="1" applyFill="1" applyBorder="1" applyAlignment="1">
      <alignment vertical="center"/>
    </xf>
    <xf numFmtId="1" fontId="17" fillId="2" borderId="0" xfId="0" quotePrefix="1" applyNumberFormat="1" applyFont="1" applyFill="1" applyBorder="1" applyAlignment="1">
      <alignment horizontal="center" vertical="center" wrapText="1"/>
    </xf>
    <xf numFmtId="0" fontId="0" fillId="0" borderId="4" xfId="0" applyBorder="1"/>
    <xf numFmtId="0" fontId="16" fillId="0" borderId="4" xfId="0" applyFont="1" applyBorder="1" applyAlignment="1">
      <alignment horizontal="center"/>
    </xf>
    <xf numFmtId="167" fontId="0" fillId="0" borderId="0" xfId="0" applyNumberFormat="1"/>
    <xf numFmtId="0" fontId="9" fillId="0" borderId="0" xfId="0" applyFont="1" applyBorder="1" applyAlignment="1">
      <alignment vertical="center"/>
    </xf>
    <xf numFmtId="0" fontId="9" fillId="0" borderId="0" xfId="0" applyFont="1"/>
    <xf numFmtId="0" fontId="9" fillId="0" borderId="0" xfId="0" applyFont="1" applyBorder="1"/>
    <xf numFmtId="0" fontId="3" fillId="0" borderId="0" xfId="2" applyFont="1"/>
    <xf numFmtId="0" fontId="3" fillId="0" borderId="0" xfId="2" applyFont="1" applyAlignment="1">
      <alignment horizontal="right"/>
    </xf>
    <xf numFmtId="0" fontId="1" fillId="0" borderId="0" xfId="2"/>
    <xf numFmtId="0" fontId="6" fillId="0" borderId="0" xfId="2" applyFont="1"/>
    <xf numFmtId="0" fontId="1" fillId="0" borderId="0" xfId="2" applyAlignment="1">
      <alignment horizontal="right"/>
    </xf>
    <xf numFmtId="0" fontId="4" fillId="0" borderId="0" xfId="2" applyFont="1"/>
    <xf numFmtId="0" fontId="9" fillId="0" borderId="1" xfId="2" applyFont="1" applyBorder="1"/>
    <xf numFmtId="0" fontId="9" fillId="0" borderId="0" xfId="2" applyFont="1"/>
    <xf numFmtId="0" fontId="15" fillId="0" borderId="0" xfId="2" applyFont="1"/>
    <xf numFmtId="0" fontId="15" fillId="0" borderId="0" xfId="2" applyFont="1" applyAlignment="1">
      <alignment wrapText="1"/>
    </xf>
    <xf numFmtId="164" fontId="15" fillId="0" borderId="0" xfId="3" applyFont="1" applyAlignment="1">
      <alignment horizontal="center" vertical="center"/>
    </xf>
    <xf numFmtId="0" fontId="1" fillId="0" borderId="0" xfId="2" applyBorder="1"/>
    <xf numFmtId="0" fontId="1" fillId="0" borderId="0" xfId="2" applyFill="1" applyAlignment="1">
      <alignment horizontal="right"/>
    </xf>
    <xf numFmtId="0" fontId="1" fillId="0" borderId="0" xfId="2" applyFont="1"/>
    <xf numFmtId="0" fontId="1" fillId="0" borderId="2" xfId="2" applyFont="1" applyBorder="1"/>
    <xf numFmtId="0" fontId="3" fillId="0" borderId="0" xfId="2" applyFont="1" applyAlignment="1">
      <alignment horizontal="center"/>
    </xf>
    <xf numFmtId="0" fontId="6" fillId="0" borderId="0" xfId="2" applyFont="1" applyAlignment="1">
      <alignment horizontal="center"/>
    </xf>
    <xf numFmtId="0" fontId="1" fillId="0" borderId="0" xfId="2" applyAlignment="1">
      <alignment horizontal="center"/>
    </xf>
    <xf numFmtId="167" fontId="9" fillId="0" borderId="1" xfId="3" applyNumberFormat="1" applyFont="1" applyBorder="1" applyAlignment="1">
      <alignment horizontal="center" vertical="center"/>
    </xf>
    <xf numFmtId="166" fontId="15" fillId="0" borderId="0" xfId="2" applyNumberFormat="1" applyFont="1" applyAlignment="1">
      <alignment horizontal="center"/>
    </xf>
    <xf numFmtId="165" fontId="9" fillId="0" borderId="1" xfId="2" applyNumberFormat="1" applyFont="1" applyBorder="1" applyAlignment="1">
      <alignment horizontal="center" vertical="center"/>
    </xf>
    <xf numFmtId="164" fontId="15" fillId="0" borderId="0" xfId="3" applyFont="1" applyAlignment="1">
      <alignment horizontal="center"/>
    </xf>
    <xf numFmtId="166" fontId="9" fillId="0" borderId="1" xfId="2" applyNumberFormat="1" applyFont="1" applyBorder="1" applyAlignment="1">
      <alignment horizontal="center"/>
    </xf>
    <xf numFmtId="0" fontId="9" fillId="0" borderId="1" xfId="2" applyFont="1" applyBorder="1" applyAlignment="1">
      <alignment horizontal="center"/>
    </xf>
    <xf numFmtId="0" fontId="1" fillId="0" borderId="0" xfId="2" applyFill="1" applyAlignment="1">
      <alignment horizontal="center"/>
    </xf>
    <xf numFmtId="0" fontId="1" fillId="0" borderId="0" xfId="2" applyBorder="1" applyAlignment="1">
      <alignment horizontal="center"/>
    </xf>
    <xf numFmtId="0" fontId="4" fillId="0" borderId="0" xfId="2" applyFont="1" applyAlignment="1">
      <alignment horizontal="center"/>
    </xf>
    <xf numFmtId="165" fontId="9" fillId="0" borderId="1" xfId="2" applyNumberFormat="1" applyFont="1" applyBorder="1" applyAlignment="1">
      <alignment horizontal="center"/>
    </xf>
    <xf numFmtId="0" fontId="1" fillId="0" borderId="0" xfId="2" applyFont="1" applyBorder="1" applyAlignment="1">
      <alignment horizontal="center"/>
    </xf>
    <xf numFmtId="0" fontId="1" fillId="0" borderId="2" xfId="2" applyBorder="1" applyAlignment="1">
      <alignment horizontal="center"/>
    </xf>
    <xf numFmtId="0" fontId="14" fillId="0" borderId="2" xfId="2" applyFont="1" applyFill="1" applyBorder="1" applyAlignment="1">
      <alignment horizontal="center"/>
    </xf>
    <xf numFmtId="0" fontId="1" fillId="0" borderId="2" xfId="2" applyFill="1" applyBorder="1" applyAlignment="1">
      <alignment horizontal="center"/>
    </xf>
    <xf numFmtId="0" fontId="14" fillId="0" borderId="0" xfId="2" applyFont="1" applyFill="1" applyAlignment="1">
      <alignment horizontal="center"/>
    </xf>
    <xf numFmtId="0" fontId="0" fillId="0" borderId="0" xfId="0" applyAlignment="1">
      <alignment horizontal="center"/>
    </xf>
    <xf numFmtId="0" fontId="5" fillId="0" borderId="0" xfId="0" applyFont="1" applyFill="1" applyAlignment="1">
      <alignment horizontal="center" vertical="top" wrapText="1"/>
    </xf>
    <xf numFmtId="0" fontId="9" fillId="0" borderId="0" xfId="2" applyFont="1" applyAlignment="1">
      <alignment horizontal="center"/>
    </xf>
    <xf numFmtId="0" fontId="9" fillId="0" borderId="0" xfId="2" applyFont="1" applyBorder="1" applyAlignment="1">
      <alignment horizontal="center"/>
    </xf>
    <xf numFmtId="169" fontId="17" fillId="2" borderId="1" xfId="0" applyNumberFormat="1" applyFont="1" applyFill="1" applyBorder="1" applyAlignment="1">
      <alignment horizontal="center"/>
    </xf>
    <xf numFmtId="164" fontId="15" fillId="0" borderId="0" xfId="3" applyFont="1" applyAlignment="1"/>
    <xf numFmtId="0" fontId="3" fillId="0" borderId="0" xfId="0" applyFont="1" applyAlignment="1">
      <alignment horizontal="center"/>
    </xf>
    <xf numFmtId="0" fontId="6" fillId="0" borderId="0" xfId="0" applyFont="1" applyAlignment="1">
      <alignment horizontal="center"/>
    </xf>
    <xf numFmtId="1" fontId="9" fillId="2" borderId="0" xfId="0" quotePrefix="1" applyNumberFormat="1" applyFont="1" applyFill="1" applyBorder="1" applyAlignment="1">
      <alignment horizontal="center" vertical="center"/>
    </xf>
    <xf numFmtId="0" fontId="0" fillId="0" borderId="0" xfId="0" applyBorder="1" applyAlignment="1">
      <alignment horizontal="center"/>
    </xf>
    <xf numFmtId="165" fontId="1" fillId="0" borderId="0" xfId="0" applyNumberFormat="1" applyFont="1" applyAlignment="1">
      <alignment horizontal="center"/>
    </xf>
    <xf numFmtId="169" fontId="1" fillId="0" borderId="0" xfId="0" applyNumberFormat="1" applyFont="1" applyAlignment="1">
      <alignment horizontal="center"/>
    </xf>
    <xf numFmtId="0" fontId="0" fillId="0" borderId="4" xfId="0" applyBorder="1" applyAlignment="1">
      <alignment horizontal="center"/>
    </xf>
    <xf numFmtId="170" fontId="7" fillId="0" borderId="4" xfId="0" applyNumberFormat="1" applyFont="1" applyBorder="1" applyAlignment="1">
      <alignment horizontal="center"/>
    </xf>
    <xf numFmtId="0" fontId="5" fillId="0" borderId="0" xfId="0" applyFont="1" applyBorder="1" applyAlignment="1">
      <alignment horizontal="center"/>
    </xf>
    <xf numFmtId="0" fontId="11" fillId="0" borderId="0" xfId="0" applyFont="1" applyAlignment="1">
      <alignment horizontal="center"/>
    </xf>
    <xf numFmtId="0" fontId="16" fillId="0" borderId="0" xfId="0" applyFont="1" applyBorder="1" applyAlignment="1">
      <alignment horizontal="center"/>
    </xf>
    <xf numFmtId="165" fontId="0" fillId="0" borderId="0" xfId="0" applyNumberFormat="1" applyAlignment="1">
      <alignment horizontal="center"/>
    </xf>
    <xf numFmtId="0" fontId="16" fillId="0" borderId="0" xfId="0" applyFont="1" applyAlignment="1">
      <alignment horizontal="center" wrapText="1"/>
    </xf>
    <xf numFmtId="0" fontId="1" fillId="0" borderId="0" xfId="0" applyFont="1" applyAlignment="1">
      <alignment horizontal="center" wrapText="1"/>
    </xf>
    <xf numFmtId="169" fontId="16" fillId="2" borderId="3" xfId="0" applyNumberFormat="1" applyFont="1" applyFill="1" applyBorder="1" applyAlignment="1">
      <alignment horizontal="center"/>
    </xf>
    <xf numFmtId="169" fontId="1" fillId="2" borderId="3" xfId="0" applyNumberFormat="1" applyFont="1" applyFill="1" applyBorder="1" applyAlignment="1">
      <alignment horizontal="center"/>
    </xf>
    <xf numFmtId="0" fontId="16" fillId="0" borderId="0" xfId="0" applyFont="1" applyAlignment="1">
      <alignment horizontal="center" vertical="center"/>
    </xf>
    <xf numFmtId="0" fontId="0" fillId="0" borderId="0" xfId="0" applyAlignment="1">
      <alignment horizontal="center" vertical="center"/>
    </xf>
    <xf numFmtId="166" fontId="0" fillId="2" borderId="0" xfId="0" applyNumberFormat="1" applyFill="1" applyAlignment="1">
      <alignment horizontal="center" vertical="center"/>
    </xf>
    <xf numFmtId="166" fontId="16" fillId="2" borderId="0" xfId="0" applyNumberFormat="1" applyFont="1" applyFill="1" applyAlignment="1">
      <alignment horizontal="center"/>
    </xf>
    <xf numFmtId="166" fontId="0" fillId="2" borderId="0" xfId="0" applyNumberFormat="1" applyFill="1" applyAlignment="1">
      <alignment horizontal="center"/>
    </xf>
    <xf numFmtId="0" fontId="16" fillId="0" borderId="0" xfId="0" applyFont="1" applyBorder="1" applyAlignment="1">
      <alignment horizontal="center" vertical="center"/>
    </xf>
    <xf numFmtId="0" fontId="0" fillId="0" borderId="0" xfId="0" applyBorder="1" applyAlignment="1">
      <alignment horizontal="center" vertical="center"/>
    </xf>
    <xf numFmtId="168" fontId="0" fillId="0" borderId="0" xfId="1" applyNumberFormat="1" applyFont="1" applyBorder="1" applyAlignment="1">
      <alignment horizontal="center" vertical="center"/>
    </xf>
    <xf numFmtId="0" fontId="5" fillId="0" borderId="0" xfId="0" applyFont="1" applyAlignment="1">
      <alignment horizontal="center"/>
    </xf>
    <xf numFmtId="0" fontId="9" fillId="0" borderId="0" xfId="0" applyFont="1" applyAlignment="1">
      <alignment vertical="center"/>
    </xf>
    <xf numFmtId="167" fontId="9" fillId="0" borderId="1" xfId="1" applyNumberFormat="1" applyFont="1" applyBorder="1" applyAlignment="1">
      <alignment vertical="center"/>
    </xf>
    <xf numFmtId="0" fontId="17" fillId="0" borderId="1" xfId="0" applyFont="1" applyBorder="1" applyAlignment="1">
      <alignment horizontal="center" vertical="center"/>
    </xf>
    <xf numFmtId="167" fontId="9" fillId="0" borderId="0" xfId="0" applyNumberFormat="1" applyFont="1" applyAlignment="1">
      <alignment vertical="center"/>
    </xf>
    <xf numFmtId="166" fontId="16" fillId="0" borderId="0" xfId="0" applyNumberFormat="1" applyFont="1" applyAlignment="1">
      <alignment horizontal="center"/>
    </xf>
    <xf numFmtId="165" fontId="16" fillId="0" borderId="0" xfId="0" applyNumberFormat="1" applyFont="1" applyAlignment="1">
      <alignment horizontal="center"/>
    </xf>
    <xf numFmtId="165" fontId="17" fillId="0" borderId="1" xfId="0" applyNumberFormat="1" applyFont="1" applyBorder="1" applyAlignment="1">
      <alignment horizontal="center" vertical="center"/>
    </xf>
    <xf numFmtId="0" fontId="23" fillId="0" borderId="0" xfId="2" applyFont="1" applyBorder="1"/>
    <xf numFmtId="0" fontId="8" fillId="0" borderId="2" xfId="2" applyFont="1" applyBorder="1"/>
    <xf numFmtId="0" fontId="9" fillId="0" borderId="1" xfId="2" applyFont="1" applyBorder="1" applyAlignment="1">
      <alignment vertical="center"/>
    </xf>
    <xf numFmtId="0" fontId="9" fillId="0" borderId="0" xfId="2" applyFont="1" applyAlignment="1">
      <alignment vertical="center"/>
    </xf>
    <xf numFmtId="0" fontId="9" fillId="0" borderId="0" xfId="2" applyFont="1" applyBorder="1" applyAlignment="1">
      <alignment vertical="center"/>
    </xf>
    <xf numFmtId="0" fontId="9" fillId="0" borderId="1" xfId="2" applyFont="1" applyBorder="1" applyAlignment="1">
      <alignment vertical="center" wrapText="1"/>
    </xf>
    <xf numFmtId="167" fontId="3" fillId="0" borderId="0" xfId="2" applyNumberFormat="1" applyFont="1" applyAlignment="1">
      <alignment horizontal="center"/>
    </xf>
    <xf numFmtId="167" fontId="1" fillId="0" borderId="0" xfId="2" applyNumberFormat="1" applyAlignment="1">
      <alignment horizontal="center"/>
    </xf>
    <xf numFmtId="0" fontId="6" fillId="0" borderId="0" xfId="2" applyFont="1" applyBorder="1" applyAlignment="1">
      <alignment horizontal="center"/>
    </xf>
    <xf numFmtId="0" fontId="23" fillId="0" borderId="0" xfId="2" applyFont="1" applyBorder="1" applyAlignment="1">
      <alignment horizontal="center"/>
    </xf>
    <xf numFmtId="0" fontId="6" fillId="0" borderId="2" xfId="2" applyFont="1" applyBorder="1" applyAlignment="1">
      <alignment horizontal="center"/>
    </xf>
    <xf numFmtId="0" fontId="8" fillId="0" borderId="2" xfId="2" applyFont="1" applyBorder="1" applyAlignment="1">
      <alignment horizontal="center"/>
    </xf>
    <xf numFmtId="0" fontId="9" fillId="0" borderId="0" xfId="2" applyFont="1" applyFill="1" applyAlignment="1">
      <alignment horizontal="center"/>
    </xf>
    <xf numFmtId="167" fontId="0" fillId="0" borderId="0" xfId="3" applyNumberFormat="1" applyFont="1" applyFill="1" applyAlignment="1">
      <alignment horizontal="center"/>
    </xf>
    <xf numFmtId="167" fontId="9" fillId="0" borderId="1" xfId="3" applyNumberFormat="1" applyFont="1" applyFill="1" applyBorder="1" applyAlignment="1">
      <alignment horizontal="center" vertical="center"/>
    </xf>
    <xf numFmtId="165" fontId="9" fillId="0" borderId="1" xfId="2" applyNumberFormat="1" applyFont="1" applyFill="1" applyBorder="1" applyAlignment="1">
      <alignment horizontal="center" vertical="center"/>
    </xf>
    <xf numFmtId="165" fontId="1" fillId="0" borderId="0" xfId="2" applyNumberFormat="1" applyFill="1" applyAlignment="1">
      <alignment horizontal="center"/>
    </xf>
    <xf numFmtId="167" fontId="9" fillId="0" borderId="0" xfId="3" applyNumberFormat="1" applyFont="1" applyFill="1" applyAlignment="1">
      <alignment horizontal="center"/>
    </xf>
    <xf numFmtId="165" fontId="9" fillId="0" borderId="0" xfId="2" applyNumberFormat="1" applyFont="1" applyFill="1" applyAlignment="1">
      <alignment horizontal="center"/>
    </xf>
    <xf numFmtId="167" fontId="9" fillId="0" borderId="0" xfId="3" applyNumberFormat="1" applyFont="1" applyFill="1" applyBorder="1" applyAlignment="1">
      <alignment horizontal="center" vertical="center"/>
    </xf>
    <xf numFmtId="165" fontId="9" fillId="0" borderId="0" xfId="3" applyNumberFormat="1" applyFont="1" applyFill="1" applyBorder="1" applyAlignment="1">
      <alignment horizontal="center" vertical="center"/>
    </xf>
    <xf numFmtId="167" fontId="9" fillId="0" borderId="0" xfId="3" applyNumberFormat="1" applyFont="1" applyBorder="1" applyAlignment="1">
      <alignment horizontal="center" vertical="center"/>
    </xf>
    <xf numFmtId="167" fontId="0" fillId="0" borderId="0" xfId="3" applyNumberFormat="1" applyFont="1" applyAlignment="1">
      <alignment horizontal="center"/>
    </xf>
    <xf numFmtId="167" fontId="8" fillId="0" borderId="2" xfId="3" applyNumberFormat="1" applyFont="1" applyFill="1" applyBorder="1" applyAlignment="1">
      <alignment horizontal="center"/>
    </xf>
    <xf numFmtId="165" fontId="8" fillId="0" borderId="2" xfId="2" applyNumberFormat="1" applyFont="1" applyFill="1" applyBorder="1" applyAlignment="1">
      <alignment horizontal="center"/>
    </xf>
    <xf numFmtId="165" fontId="1" fillId="0" borderId="0" xfId="2" applyNumberFormat="1" applyAlignment="1">
      <alignment horizontal="center"/>
    </xf>
    <xf numFmtId="167" fontId="9" fillId="0" borderId="0" xfId="3" applyNumberFormat="1" applyFont="1" applyAlignment="1">
      <alignment horizontal="center"/>
    </xf>
    <xf numFmtId="165" fontId="9" fillId="0" borderId="0" xfId="2" applyNumberFormat="1" applyFont="1" applyAlignment="1">
      <alignment horizontal="center"/>
    </xf>
    <xf numFmtId="0" fontId="3" fillId="0" borderId="0" xfId="2" applyFont="1" applyAlignment="1">
      <alignment horizontal="center" vertical="center"/>
    </xf>
    <xf numFmtId="0" fontId="1" fillId="0" borderId="0" xfId="2" applyAlignment="1">
      <alignment horizontal="center" vertical="center"/>
    </xf>
    <xf numFmtId="0" fontId="1" fillId="0" borderId="2" xfId="2" applyBorder="1" applyAlignment="1">
      <alignment horizontal="center" vertical="center"/>
    </xf>
    <xf numFmtId="167" fontId="0" fillId="0" borderId="0" xfId="3" applyNumberFormat="1" applyFont="1" applyFill="1" applyAlignment="1">
      <alignment horizontal="center" vertical="center"/>
    </xf>
    <xf numFmtId="167" fontId="9" fillId="0" borderId="0" xfId="3" applyNumberFormat="1" applyFont="1" applyFill="1" applyAlignment="1">
      <alignment horizontal="center" vertical="center"/>
    </xf>
    <xf numFmtId="167" fontId="9" fillId="0" borderId="2" xfId="3" applyNumberFormat="1" applyFont="1" applyFill="1" applyBorder="1" applyAlignment="1">
      <alignment horizontal="center" vertical="center"/>
    </xf>
    <xf numFmtId="167" fontId="0" fillId="0" borderId="0" xfId="3" applyNumberFormat="1" applyFont="1" applyAlignment="1">
      <alignment horizontal="center" vertical="center"/>
    </xf>
    <xf numFmtId="167" fontId="9" fillId="0" borderId="0" xfId="3" applyNumberFormat="1" applyFont="1" applyAlignment="1">
      <alignment horizontal="center" vertical="center"/>
    </xf>
    <xf numFmtId="172" fontId="0" fillId="0" borderId="0" xfId="0" applyNumberFormat="1" applyAlignment="1">
      <alignment horizontal="center"/>
    </xf>
    <xf numFmtId="166" fontId="17" fillId="0" borderId="1" xfId="0" applyNumberFormat="1" applyFont="1" applyBorder="1" applyAlignment="1">
      <alignment horizontal="center" vertical="center"/>
    </xf>
    <xf numFmtId="0" fontId="1" fillId="0" borderId="0" xfId="2" quotePrefix="1" applyFont="1"/>
    <xf numFmtId="0" fontId="9" fillId="0" borderId="0" xfId="2" applyFont="1" applyBorder="1" applyAlignment="1">
      <alignment vertical="center" wrapText="1"/>
    </xf>
    <xf numFmtId="0" fontId="1" fillId="0" borderId="0" xfId="2" applyFont="1" applyAlignment="1">
      <alignment wrapText="1"/>
    </xf>
    <xf numFmtId="0" fontId="1" fillId="0" borderId="0" xfId="2" applyAlignment="1">
      <alignment vertical="center"/>
    </xf>
    <xf numFmtId="166" fontId="17"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66" fontId="9" fillId="0" borderId="1" xfId="2" applyNumberFormat="1" applyFont="1" applyBorder="1" applyAlignment="1">
      <alignment horizontal="center" vertical="center"/>
    </xf>
    <xf numFmtId="166" fontId="1" fillId="0" borderId="0" xfId="2" applyNumberFormat="1" applyFill="1" applyAlignment="1">
      <alignment horizontal="center"/>
    </xf>
    <xf numFmtId="166" fontId="1" fillId="0" borderId="0" xfId="2" quotePrefix="1" applyNumberFormat="1" applyFill="1" applyAlignment="1">
      <alignment horizontal="center"/>
    </xf>
    <xf numFmtId="165" fontId="9" fillId="0" borderId="2" xfId="2" applyNumberFormat="1" applyFont="1" applyBorder="1" applyAlignment="1">
      <alignment horizontal="center" vertical="center"/>
    </xf>
    <xf numFmtId="43" fontId="0" fillId="0" borderId="0" xfId="5" applyFont="1" applyFill="1" applyAlignment="1">
      <alignment horizontal="center"/>
    </xf>
    <xf numFmtId="43" fontId="1" fillId="0" borderId="0" xfId="5" applyFont="1" applyFill="1" applyAlignment="1">
      <alignment horizontal="center"/>
    </xf>
    <xf numFmtId="166" fontId="1" fillId="0" borderId="0" xfId="2" applyNumberFormat="1" applyFont="1" applyFill="1" applyBorder="1" applyAlignment="1">
      <alignment horizontal="center" vertical="center"/>
    </xf>
    <xf numFmtId="166" fontId="1" fillId="0" borderId="0" xfId="2" applyNumberFormat="1" applyFont="1" applyBorder="1" applyAlignment="1">
      <alignment horizontal="center" vertical="center"/>
    </xf>
    <xf numFmtId="166" fontId="1" fillId="0" borderId="0" xfId="2" applyNumberFormat="1" applyAlignment="1">
      <alignment horizontal="center"/>
    </xf>
    <xf numFmtId="43" fontId="0" fillId="0" borderId="0" xfId="5" applyFont="1" applyAlignment="1">
      <alignment horizontal="center"/>
    </xf>
    <xf numFmtId="171" fontId="1" fillId="0" borderId="0" xfId="5" applyNumberFormat="1" applyFont="1" applyFill="1" applyAlignment="1">
      <alignment horizontal="center"/>
    </xf>
    <xf numFmtId="166" fontId="1" fillId="0" borderId="0" xfId="2" applyNumberFormat="1" applyFill="1" applyAlignment="1">
      <alignment horizontal="center" vertical="center"/>
    </xf>
    <xf numFmtId="43" fontId="0" fillId="0" borderId="0" xfId="5" applyFont="1" applyFill="1" applyAlignment="1">
      <alignment horizontal="center" vertical="center"/>
    </xf>
    <xf numFmtId="165" fontId="1" fillId="0" borderId="0" xfId="2" applyNumberFormat="1" applyFill="1" applyAlignment="1">
      <alignment horizontal="center" vertical="center"/>
    </xf>
    <xf numFmtId="165" fontId="1" fillId="0" borderId="0" xfId="2" applyNumberFormat="1" applyAlignment="1">
      <alignment horizontal="center" vertical="center"/>
    </xf>
    <xf numFmtId="166" fontId="1" fillId="0" borderId="0" xfId="2" applyNumberFormat="1" applyAlignment="1">
      <alignment horizontal="center" vertical="center"/>
    </xf>
    <xf numFmtId="43" fontId="1" fillId="0" borderId="0" xfId="5" applyFont="1" applyFill="1" applyAlignment="1">
      <alignment horizontal="center" vertical="center"/>
    </xf>
    <xf numFmtId="168" fontId="1" fillId="0" borderId="0" xfId="1" applyNumberFormat="1" applyFont="1" applyFill="1" applyAlignment="1"/>
    <xf numFmtId="168" fontId="1" fillId="0" borderId="1" xfId="1" applyNumberFormat="1" applyFont="1" applyFill="1" applyBorder="1" applyAlignment="1"/>
    <xf numFmtId="166" fontId="0" fillId="0" borderId="0" xfId="0" applyNumberFormat="1" applyAlignment="1">
      <alignment horizontal="center"/>
    </xf>
    <xf numFmtId="0" fontId="1" fillId="0" borderId="0" xfId="0" applyFont="1" applyAlignment="1">
      <alignment horizontal="center"/>
    </xf>
    <xf numFmtId="165" fontId="1" fillId="0" borderId="0" xfId="0" applyNumberFormat="1" applyFont="1" applyBorder="1" applyAlignment="1">
      <alignment horizontal="center"/>
    </xf>
    <xf numFmtId="169" fontId="9" fillId="0" borderId="1" xfId="2" applyNumberFormat="1" applyFont="1" applyBorder="1" applyAlignment="1">
      <alignment horizontal="center"/>
    </xf>
    <xf numFmtId="166" fontId="15" fillId="0" borderId="0" xfId="2" applyNumberFormat="1" applyFont="1" applyFill="1" applyAlignment="1">
      <alignment horizontal="center"/>
    </xf>
    <xf numFmtId="166" fontId="9" fillId="0" borderId="5" xfId="2" applyNumberFormat="1" applyFont="1" applyBorder="1" applyAlignment="1">
      <alignment horizontal="center"/>
    </xf>
    <xf numFmtId="166" fontId="9" fillId="0" borderId="0" xfId="2" applyNumberFormat="1" applyFont="1" applyBorder="1" applyAlignment="1">
      <alignment horizontal="center"/>
    </xf>
    <xf numFmtId="172" fontId="9" fillId="0" borderId="1" xfId="2" applyNumberFormat="1" applyFont="1" applyBorder="1" applyAlignment="1">
      <alignment horizontal="center"/>
    </xf>
    <xf numFmtId="0" fontId="1" fillId="0" borderId="0" xfId="2"/>
    <xf numFmtId="0" fontId="3" fillId="0" borderId="0" xfId="2" applyFont="1"/>
    <xf numFmtId="0" fontId="4" fillId="0" borderId="0" xfId="2" applyFont="1"/>
    <xf numFmtId="0" fontId="9" fillId="0" borderId="0" xfId="2" applyFont="1"/>
    <xf numFmtId="0" fontId="9" fillId="0" borderId="0" xfId="2" applyFont="1" applyAlignment="1">
      <alignment vertical="center"/>
    </xf>
    <xf numFmtId="0" fontId="1" fillId="0" borderId="0" xfId="2" applyFont="1"/>
    <xf numFmtId="0" fontId="1" fillId="0" borderId="1" xfId="2" applyBorder="1" applyAlignment="1">
      <alignment horizontal="center"/>
    </xf>
    <xf numFmtId="0" fontId="0" fillId="0" borderId="0" xfId="0" applyAlignment="1"/>
    <xf numFmtId="165" fontId="0" fillId="0" borderId="0" xfId="0" applyNumberFormat="1" applyBorder="1" applyAlignment="1">
      <alignment horizontal="center"/>
    </xf>
    <xf numFmtId="174" fontId="0" fillId="0" borderId="0" xfId="0" applyNumberFormat="1" applyBorder="1" applyAlignment="1">
      <alignment horizontal="center"/>
    </xf>
    <xf numFmtId="174" fontId="0" fillId="0" borderId="0" xfId="0" applyNumberFormat="1" applyAlignment="1">
      <alignment horizontal="center"/>
    </xf>
    <xf numFmtId="166" fontId="1" fillId="0" borderId="0" xfId="0" applyNumberFormat="1" applyFont="1" applyAlignment="1">
      <alignment horizontal="center"/>
    </xf>
    <xf numFmtId="174" fontId="1" fillId="0" borderId="0" xfId="0" applyNumberFormat="1" applyFont="1" applyAlignment="1">
      <alignment horizontal="center"/>
    </xf>
    <xf numFmtId="173" fontId="9" fillId="2" borderId="6" xfId="0" applyNumberFormat="1" applyFont="1" applyFill="1" applyBorder="1" applyAlignment="1">
      <alignment horizontal="center" vertical="center"/>
    </xf>
    <xf numFmtId="1" fontId="10" fillId="2" borderId="6" xfId="0" quotePrefix="1" applyNumberFormat="1" applyFont="1" applyFill="1" applyBorder="1" applyAlignment="1">
      <alignment horizontal="left" vertical="center"/>
    </xf>
    <xf numFmtId="175" fontId="1" fillId="0" borderId="0" xfId="2" applyNumberFormat="1" applyAlignment="1">
      <alignment horizontal="center"/>
    </xf>
    <xf numFmtId="0" fontId="9" fillId="0" borderId="0" xfId="2" applyFont="1" applyAlignment="1">
      <alignment horizontal="center" vertical="center"/>
    </xf>
    <xf numFmtId="165" fontId="17" fillId="0" borderId="0" xfId="0" applyNumberFormat="1" applyFont="1" applyBorder="1" applyAlignment="1">
      <alignment horizontal="center" vertical="center"/>
    </xf>
    <xf numFmtId="1" fontId="17" fillId="2" borderId="6" xfId="0" quotePrefix="1" applyNumberFormat="1" applyFont="1" applyFill="1" applyBorder="1" applyAlignment="1">
      <alignment horizontal="center" vertical="center" wrapText="1"/>
    </xf>
    <xf numFmtId="1" fontId="9" fillId="2" borderId="6" xfId="0" quotePrefix="1" applyNumberFormat="1" applyFont="1" applyFill="1" applyBorder="1" applyAlignment="1">
      <alignment horizontal="center" vertical="center"/>
    </xf>
    <xf numFmtId="0" fontId="4" fillId="0" borderId="0" xfId="0" applyFont="1" applyAlignment="1">
      <alignment horizontal="center"/>
    </xf>
    <xf numFmtId="165" fontId="0" fillId="0" borderId="0" xfId="0" applyNumberFormat="1" applyAlignment="1">
      <alignment horizontal="center" vertical="center"/>
    </xf>
    <xf numFmtId="167" fontId="0" fillId="0" borderId="0" xfId="3" applyNumberFormat="1" applyFont="1" applyBorder="1" applyAlignment="1">
      <alignment horizontal="center" vertical="center"/>
    </xf>
    <xf numFmtId="166" fontId="0" fillId="0" borderId="0" xfId="0" applyNumberFormat="1" applyBorder="1" applyAlignment="1">
      <alignment horizontal="center" vertical="center"/>
    </xf>
    <xf numFmtId="0" fontId="0" fillId="0" borderId="0" xfId="0" applyAlignment="1">
      <alignment horizontal="left" vertical="top" wrapText="1"/>
    </xf>
    <xf numFmtId="0" fontId="0" fillId="0" borderId="0" xfId="0" applyAlignment="1"/>
    <xf numFmtId="175" fontId="0" fillId="0" borderId="0" xfId="0" applyNumberFormat="1" applyAlignment="1">
      <alignment horizontal="center"/>
    </xf>
    <xf numFmtId="166" fontId="9" fillId="0" borderId="2" xfId="2" applyNumberFormat="1" applyFont="1" applyFill="1" applyBorder="1" applyAlignment="1">
      <alignment horizontal="center" vertical="center"/>
    </xf>
    <xf numFmtId="175" fontId="0" fillId="0" borderId="0" xfId="0" applyNumberFormat="1" applyAlignment="1">
      <alignment horizontal="right"/>
    </xf>
    <xf numFmtId="0" fontId="1" fillId="0" borderId="0" xfId="0" applyFont="1"/>
    <xf numFmtId="0" fontId="3" fillId="2" borderId="0" xfId="0" applyFont="1" applyFill="1" applyBorder="1"/>
    <xf numFmtId="0" fontId="3" fillId="0" borderId="0" xfId="0" applyFont="1" applyBorder="1" applyAlignment="1"/>
    <xf numFmtId="0" fontId="3" fillId="0" borderId="0" xfId="0" applyFont="1" applyFill="1" applyBorder="1" applyAlignment="1"/>
    <xf numFmtId="0" fontId="3" fillId="2" borderId="0" xfId="0" applyFont="1" applyFill="1" applyBorder="1" applyAlignment="1"/>
    <xf numFmtId="0" fontId="6" fillId="2" borderId="0" xfId="0" applyFont="1" applyFill="1" applyBorder="1"/>
    <xf numFmtId="0" fontId="0" fillId="0" borderId="0" xfId="0" applyFill="1" applyBorder="1" applyAlignment="1">
      <alignment horizontal="right"/>
    </xf>
    <xf numFmtId="0" fontId="0" fillId="2" borderId="0" xfId="0" applyFill="1" applyBorder="1" applyAlignment="1">
      <alignment horizontal="right"/>
    </xf>
    <xf numFmtId="0" fontId="10" fillId="0" borderId="0" xfId="0" applyFont="1" applyBorder="1"/>
    <xf numFmtId="0" fontId="10" fillId="0" borderId="0" xfId="0" applyFont="1" applyBorder="1" applyAlignment="1">
      <alignment horizontal="center"/>
    </xf>
    <xf numFmtId="0" fontId="10" fillId="2" borderId="0" xfId="0" applyFont="1" applyFill="1" applyBorder="1"/>
    <xf numFmtId="0" fontId="0" fillId="2" borderId="0" xfId="0" applyFill="1" applyBorder="1"/>
    <xf numFmtId="0" fontId="0" fillId="2" borderId="0" xfId="0" applyFill="1"/>
    <xf numFmtId="0" fontId="9" fillId="2" borderId="0" xfId="0" applyFont="1" applyFill="1" applyBorder="1" applyAlignment="1">
      <alignment horizontal="center"/>
    </xf>
    <xf numFmtId="17" fontId="9" fillId="2" borderId="6" xfId="0" applyNumberFormat="1" applyFont="1" applyFill="1" applyBorder="1" applyAlignment="1">
      <alignment horizontal="center" vertical="center"/>
    </xf>
    <xf numFmtId="0" fontId="4" fillId="2" borderId="0" xfId="0" applyFont="1" applyFill="1" applyBorder="1"/>
    <xf numFmtId="17" fontId="9" fillId="2" borderId="0" xfId="0" applyNumberFormat="1" applyFont="1" applyFill="1" applyBorder="1" applyAlignment="1">
      <alignment horizontal="right"/>
    </xf>
    <xf numFmtId="0" fontId="9" fillId="2" borderId="0" xfId="0" applyFont="1" applyFill="1" applyBorder="1" applyAlignment="1">
      <alignment horizontal="right"/>
    </xf>
    <xf numFmtId="0" fontId="1" fillId="2" borderId="0" xfId="0" applyFont="1" applyFill="1"/>
    <xf numFmtId="1" fontId="10" fillId="2" borderId="0" xfId="0" quotePrefix="1" applyNumberFormat="1" applyFont="1" applyFill="1" applyBorder="1" applyAlignment="1">
      <alignment horizontal="left" vertical="center"/>
    </xf>
    <xf numFmtId="17" fontId="9" fillId="2" borderId="0" xfId="0" applyNumberFormat="1" applyFont="1" applyFill="1" applyBorder="1" applyAlignment="1">
      <alignment horizont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vertical="center"/>
    </xf>
    <xf numFmtId="165" fontId="1" fillId="0" borderId="0" xfId="0" applyNumberFormat="1" applyFont="1" applyBorder="1" applyAlignment="1">
      <alignment horizontal="center" vertical="center"/>
    </xf>
    <xf numFmtId="176" fontId="5" fillId="0" borderId="0" xfId="4" applyNumberFormat="1" applyFont="1" applyBorder="1" applyAlignment="1">
      <alignment horizontal="center"/>
    </xf>
    <xf numFmtId="176" fontId="15" fillId="0" borderId="0" xfId="4" applyNumberFormat="1" applyFont="1" applyBorder="1" applyAlignment="1"/>
    <xf numFmtId="165" fontId="1" fillId="2" borderId="0" xfId="0" applyNumberFormat="1" applyFont="1" applyFill="1" applyBorder="1" applyAlignment="1">
      <alignment horizontal="right"/>
    </xf>
    <xf numFmtId="176" fontId="15" fillId="2" borderId="0" xfId="4" applyNumberFormat="1" applyFont="1" applyFill="1" applyBorder="1" applyAlignment="1"/>
    <xf numFmtId="0" fontId="1" fillId="0" borderId="0" xfId="0" applyFont="1" applyFill="1" applyBorder="1" applyAlignment="1">
      <alignment horizontal="right"/>
    </xf>
    <xf numFmtId="0" fontId="1" fillId="0" borderId="0" xfId="0" applyFont="1" applyBorder="1" applyAlignment="1">
      <alignment horizontal="center"/>
    </xf>
    <xf numFmtId="0" fontId="1" fillId="2" borderId="0" xfId="0" applyFont="1" applyFill="1" applyBorder="1"/>
    <xf numFmtId="0" fontId="1" fillId="0" borderId="0" xfId="2" applyFont="1" applyAlignment="1">
      <alignment horizontal="center"/>
    </xf>
    <xf numFmtId="174" fontId="1" fillId="0" borderId="0" xfId="2" applyNumberFormat="1" applyFont="1" applyAlignment="1">
      <alignment horizontal="center"/>
    </xf>
    <xf numFmtId="0" fontId="1" fillId="0" borderId="0" xfId="0" applyFont="1" applyFill="1" applyBorder="1" applyAlignment="1">
      <alignment horizontal="center"/>
    </xf>
    <xf numFmtId="174" fontId="1" fillId="0" borderId="0" xfId="2" applyNumberFormat="1" applyFont="1" applyBorder="1" applyAlignment="1">
      <alignment horizontal="center"/>
    </xf>
    <xf numFmtId="169" fontId="1" fillId="0" borderId="0" xfId="0" applyNumberFormat="1" applyFont="1" applyFill="1" applyBorder="1" applyAlignment="1">
      <alignment horizontal="right"/>
    </xf>
    <xf numFmtId="169" fontId="1" fillId="2" borderId="0" xfId="0" applyNumberFormat="1" applyFont="1" applyFill="1" applyBorder="1" applyAlignment="1">
      <alignment horizontal="right"/>
    </xf>
    <xf numFmtId="165" fontId="1" fillId="0" borderId="0" xfId="0" applyNumberFormat="1" applyFont="1" applyAlignment="1">
      <alignment horizontal="right"/>
    </xf>
    <xf numFmtId="0" fontId="0" fillId="0" borderId="2" xfId="0" applyBorder="1"/>
    <xf numFmtId="0" fontId="0" fillId="0" borderId="2" xfId="0" applyBorder="1" applyAlignment="1">
      <alignment horizontal="center"/>
    </xf>
    <xf numFmtId="165" fontId="0" fillId="0" borderId="2" xfId="0" applyNumberFormat="1" applyBorder="1" applyAlignment="1">
      <alignment horizontal="center"/>
    </xf>
    <xf numFmtId="0" fontId="0" fillId="0" borderId="2" xfId="0" applyBorder="1" applyAlignment="1">
      <alignment horizontal="right"/>
    </xf>
    <xf numFmtId="0" fontId="1" fillId="0" borderId="0" xfId="0" applyFont="1" applyAlignment="1">
      <alignment horizontal="right" vertical="top"/>
    </xf>
    <xf numFmtId="0" fontId="25" fillId="0" borderId="0" xfId="0" applyFont="1" applyAlignment="1">
      <alignment horizontal="left" vertical="top" wrapText="1"/>
    </xf>
    <xf numFmtId="0" fontId="0" fillId="0" borderId="0" xfId="0" applyAlignment="1">
      <alignment horizontal="center" vertical="top" wrapText="1"/>
    </xf>
    <xf numFmtId="0" fontId="0" fillId="0" borderId="0" xfId="0" applyBorder="1" applyAlignment="1">
      <alignment horizontal="left" vertical="top" wrapText="1"/>
    </xf>
    <xf numFmtId="0" fontId="0" fillId="0" borderId="0" xfId="0" applyBorder="1" applyAlignment="1"/>
    <xf numFmtId="0" fontId="11" fillId="0" borderId="0" xfId="0" applyFont="1" applyAlignment="1">
      <alignment horizontal="right"/>
    </xf>
    <xf numFmtId="0" fontId="29" fillId="0" borderId="0" xfId="0" applyFont="1"/>
    <xf numFmtId="0" fontId="29" fillId="0" borderId="0" xfId="0" applyFont="1" applyAlignment="1">
      <alignment horizontal="center"/>
    </xf>
    <xf numFmtId="0" fontId="29" fillId="0" borderId="0" xfId="0" applyFont="1" applyBorder="1"/>
    <xf numFmtId="0" fontId="29" fillId="2" borderId="0" xfId="0" applyFont="1" applyFill="1" applyBorder="1"/>
    <xf numFmtId="0" fontId="29" fillId="0" borderId="0" xfId="0" applyFont="1" applyFill="1" applyBorder="1" applyAlignment="1">
      <alignment horizontal="center"/>
    </xf>
    <xf numFmtId="0" fontId="29" fillId="0" borderId="0" xfId="0" applyFont="1" applyAlignment="1">
      <alignment horizontal="right"/>
    </xf>
    <xf numFmtId="0" fontId="29" fillId="0" borderId="0" xfId="0" applyFont="1" applyFill="1" applyAlignment="1">
      <alignment horizontal="center"/>
    </xf>
    <xf numFmtId="0" fontId="29" fillId="3" borderId="0" xfId="0" applyFont="1" applyFill="1" applyBorder="1" applyAlignment="1">
      <alignment horizontal="center"/>
    </xf>
    <xf numFmtId="0" fontId="11" fillId="2" borderId="0" xfId="0" applyFont="1" applyFill="1" applyBorder="1"/>
    <xf numFmtId="0" fontId="29" fillId="0" borderId="0" xfId="0" applyFont="1" applyBorder="1" applyAlignment="1">
      <alignment horizontal="right"/>
    </xf>
    <xf numFmtId="0" fontId="29" fillId="0" borderId="0" xfId="0" applyFont="1" applyFill="1" applyBorder="1" applyAlignment="1">
      <alignment horizontal="right"/>
    </xf>
    <xf numFmtId="0" fontId="29" fillId="2" borderId="0" xfId="0" applyFont="1" applyFill="1" applyBorder="1" applyAlignment="1">
      <alignment horizontal="right"/>
    </xf>
    <xf numFmtId="0" fontId="11" fillId="0" borderId="0" xfId="0" applyFont="1" applyAlignment="1">
      <alignment horizontal="center" wrapText="1"/>
    </xf>
    <xf numFmtId="0" fontId="11" fillId="0" borderId="0" xfId="0" applyFont="1" applyAlignment="1">
      <alignment wrapText="1"/>
    </xf>
    <xf numFmtId="0" fontId="11" fillId="0" borderId="0" xfId="0" applyFont="1" applyBorder="1" applyAlignment="1">
      <alignment horizontal="left" wrapText="1"/>
    </xf>
    <xf numFmtId="0" fontId="11" fillId="0" borderId="0" xfId="0" applyFont="1" applyAlignment="1">
      <alignment horizontal="left" wrapText="1"/>
    </xf>
    <xf numFmtId="0" fontId="11" fillId="2" borderId="0" xfId="0" applyFont="1" applyFill="1" applyBorder="1" applyAlignment="1">
      <alignment horizontal="left" wrapText="1"/>
    </xf>
    <xf numFmtId="17" fontId="9" fillId="2" borderId="0" xfId="0" applyNumberFormat="1" applyFont="1" applyFill="1" applyBorder="1" applyAlignment="1">
      <alignment horizontal="center" vertical="center"/>
    </xf>
    <xf numFmtId="1" fontId="17" fillId="2" borderId="6" xfId="0" quotePrefix="1" applyNumberFormat="1" applyFont="1" applyFill="1" applyBorder="1" applyAlignment="1">
      <alignment horizontal="center" vertical="center"/>
    </xf>
    <xf numFmtId="0" fontId="1" fillId="2" borderId="0" xfId="0" applyFont="1" applyFill="1" applyAlignment="1">
      <alignment horizontal="center"/>
    </xf>
    <xf numFmtId="0" fontId="9" fillId="2" borderId="0" xfId="2" applyFont="1" applyFill="1" applyBorder="1"/>
    <xf numFmtId="1" fontId="17" fillId="2" borderId="0" xfId="0" quotePrefix="1" applyNumberFormat="1" applyFont="1" applyFill="1" applyBorder="1" applyAlignment="1">
      <alignment horizontal="center" vertical="center"/>
    </xf>
    <xf numFmtId="0" fontId="1" fillId="2" borderId="0" xfId="0" applyFont="1" applyFill="1" applyBorder="1" applyAlignment="1">
      <alignment horizontal="center"/>
    </xf>
    <xf numFmtId="169" fontId="1" fillId="2" borderId="0" xfId="0" applyNumberFormat="1" applyFont="1" applyFill="1" applyBorder="1" applyAlignment="1">
      <alignment horizontal="center"/>
    </xf>
    <xf numFmtId="165" fontId="6" fillId="2" borderId="0" xfId="0" applyNumberFormat="1" applyFont="1" applyFill="1" applyBorder="1"/>
    <xf numFmtId="0" fontId="3" fillId="2" borderId="0" xfId="2" applyFont="1" applyFill="1" applyBorder="1"/>
    <xf numFmtId="0" fontId="6" fillId="2" borderId="0" xfId="2" applyFont="1" applyFill="1" applyBorder="1"/>
    <xf numFmtId="165" fontId="9" fillId="2" borderId="0" xfId="2" applyNumberFormat="1" applyFont="1" applyFill="1" applyBorder="1" applyAlignment="1">
      <alignment horizontal="center" vertical="center"/>
    </xf>
    <xf numFmtId="0" fontId="1" fillId="2" borderId="0" xfId="2" applyFill="1" applyBorder="1" applyAlignment="1">
      <alignment horizontal="right"/>
    </xf>
    <xf numFmtId="166" fontId="15" fillId="2" borderId="0" xfId="2" applyNumberFormat="1" applyFont="1" applyFill="1" applyBorder="1" applyAlignment="1">
      <alignment horizontal="right"/>
    </xf>
    <xf numFmtId="166" fontId="15" fillId="2" borderId="0" xfId="2" applyNumberFormat="1" applyFont="1" applyFill="1" applyBorder="1" applyAlignment="1">
      <alignment horizontal="center"/>
    </xf>
    <xf numFmtId="164" fontId="15" fillId="2" borderId="0" xfId="3" applyFont="1" applyFill="1" applyBorder="1" applyAlignment="1">
      <alignment horizontal="right"/>
    </xf>
    <xf numFmtId="166" fontId="9" fillId="2" borderId="0" xfId="2" applyNumberFormat="1" applyFont="1" applyFill="1" applyBorder="1" applyAlignment="1">
      <alignment horizontal="center"/>
    </xf>
    <xf numFmtId="0" fontId="9" fillId="2" borderId="0" xfId="2" applyFont="1" applyFill="1" applyBorder="1" applyAlignment="1">
      <alignment horizontal="center"/>
    </xf>
    <xf numFmtId="169" fontId="17" fillId="2" borderId="0" xfId="0" applyNumberFormat="1" applyFont="1" applyFill="1" applyBorder="1" applyAlignment="1">
      <alignment horizontal="center"/>
    </xf>
    <xf numFmtId="0" fontId="9" fillId="2" borderId="0" xfId="2" applyFont="1" applyFill="1" applyBorder="1" applyAlignment="1">
      <alignment horizontal="right"/>
    </xf>
    <xf numFmtId="0" fontId="1" fillId="2" borderId="0" xfId="2" applyFont="1" applyFill="1" applyBorder="1"/>
    <xf numFmtId="0" fontId="1" fillId="2" borderId="0" xfId="2" applyFill="1" applyBorder="1"/>
    <xf numFmtId="0" fontId="1" fillId="2" borderId="0" xfId="0" applyFont="1" applyFill="1" applyBorder="1" applyAlignment="1">
      <alignment horizontal="center" vertical="center"/>
    </xf>
    <xf numFmtId="165" fontId="1" fillId="2" borderId="0" xfId="0" applyNumberFormat="1" applyFont="1" applyFill="1" applyAlignment="1">
      <alignment horizontal="center"/>
    </xf>
    <xf numFmtId="0" fontId="6" fillId="2" borderId="0" xfId="0" applyFont="1" applyFill="1" applyAlignment="1">
      <alignment horizontal="center"/>
    </xf>
    <xf numFmtId="43" fontId="0" fillId="2" borderId="0" xfId="5" applyFont="1" applyFill="1" applyAlignment="1">
      <alignment horizontal="center"/>
    </xf>
    <xf numFmtId="166" fontId="1" fillId="2" borderId="0" xfId="2" quotePrefix="1" applyNumberFormat="1" applyFill="1" applyAlignment="1">
      <alignment horizontal="center"/>
    </xf>
    <xf numFmtId="174" fontId="0" fillId="0" borderId="0" xfId="0" applyNumberFormat="1" applyAlignment="1">
      <alignment horizontal="center" vertical="center"/>
    </xf>
    <xf numFmtId="174" fontId="9" fillId="0" borderId="1" xfId="3" applyNumberFormat="1" applyFont="1" applyBorder="1" applyAlignment="1">
      <alignment horizontal="center" vertical="center"/>
    </xf>
    <xf numFmtId="167" fontId="9" fillId="0" borderId="0" xfId="1" applyNumberFormat="1" applyFont="1" applyBorder="1" applyAlignment="1">
      <alignment vertical="center"/>
    </xf>
    <xf numFmtId="165" fontId="16" fillId="0" borderId="0" xfId="0" quotePrefix="1" applyNumberFormat="1" applyFont="1" applyAlignment="1">
      <alignment horizontal="center"/>
    </xf>
    <xf numFmtId="169" fontId="9" fillId="0" borderId="2" xfId="2" applyNumberFormat="1" applyFont="1" applyBorder="1" applyAlignment="1">
      <alignment horizontal="center" vertical="center"/>
    </xf>
    <xf numFmtId="166" fontId="1" fillId="0" borderId="0" xfId="2" quotePrefix="1" applyNumberFormat="1" applyFill="1" applyAlignment="1">
      <alignment horizontal="center" vertical="center"/>
    </xf>
    <xf numFmtId="43" fontId="9" fillId="0" borderId="1" xfId="5" applyFont="1" applyFill="1" applyBorder="1" applyAlignment="1"/>
    <xf numFmtId="0" fontId="0" fillId="0" borderId="0" xfId="0" applyAlignment="1">
      <alignment vertical="top"/>
    </xf>
    <xf numFmtId="0" fontId="3" fillId="2" borderId="0" xfId="0" applyFont="1" applyFill="1"/>
    <xf numFmtId="165" fontId="16" fillId="2" borderId="0" xfId="0" applyNumberFormat="1" applyFont="1" applyFill="1" applyBorder="1" applyAlignment="1">
      <alignment horizontal="center"/>
    </xf>
    <xf numFmtId="0" fontId="18" fillId="2" borderId="0" xfId="0" applyFont="1" applyFill="1"/>
    <xf numFmtId="165" fontId="6" fillId="2" borderId="0" xfId="0" applyNumberFormat="1" applyFont="1" applyFill="1"/>
    <xf numFmtId="0" fontId="16" fillId="2" borderId="4" xfId="0" applyFont="1" applyFill="1" applyBorder="1"/>
    <xf numFmtId="0" fontId="0" fillId="2" borderId="4" xfId="0" applyFill="1" applyBorder="1"/>
    <xf numFmtId="0" fontId="3" fillId="2" borderId="0" xfId="2" applyFont="1" applyFill="1"/>
    <xf numFmtId="0" fontId="6" fillId="2" borderId="0" xfId="2" applyFont="1" applyFill="1"/>
    <xf numFmtId="165" fontId="9" fillId="2" borderId="1" xfId="2" applyNumberFormat="1" applyFont="1" applyFill="1" applyBorder="1" applyAlignment="1">
      <alignment horizontal="center" vertical="center"/>
    </xf>
    <xf numFmtId="0" fontId="1" fillId="2" borderId="0" xfId="2" applyFill="1"/>
    <xf numFmtId="0" fontId="1" fillId="2" borderId="0" xfId="2" applyFill="1" applyAlignment="1">
      <alignment horizontal="right"/>
    </xf>
    <xf numFmtId="166" fontId="15" fillId="2" borderId="0" xfId="2" applyNumberFormat="1" applyFont="1" applyFill="1" applyAlignment="1">
      <alignment horizontal="center"/>
    </xf>
    <xf numFmtId="164" fontId="15" fillId="2" borderId="0" xfId="3" applyFont="1" applyFill="1" applyAlignment="1">
      <alignment horizontal="right"/>
    </xf>
    <xf numFmtId="166" fontId="9" fillId="2" borderId="1" xfId="2" applyNumberFormat="1" applyFont="1" applyFill="1" applyBorder="1" applyAlignment="1">
      <alignment horizontal="center"/>
    </xf>
    <xf numFmtId="0" fontId="9" fillId="2" borderId="1" xfId="2" applyFont="1" applyFill="1" applyBorder="1" applyAlignment="1">
      <alignment horizontal="center"/>
    </xf>
    <xf numFmtId="0" fontId="9" fillId="2" borderId="0" xfId="2" applyFont="1" applyFill="1"/>
    <xf numFmtId="0" fontId="9" fillId="2" borderId="0" xfId="2" applyFont="1" applyFill="1" applyAlignment="1">
      <alignment horizontal="right"/>
    </xf>
    <xf numFmtId="0" fontId="1" fillId="2" borderId="2" xfId="2" applyFont="1" applyFill="1" applyBorder="1"/>
    <xf numFmtId="0" fontId="1" fillId="2" borderId="0" xfId="2" applyFill="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xf>
    <xf numFmtId="0" fontId="6" fillId="2" borderId="0" xfId="0" applyFont="1" applyFill="1"/>
    <xf numFmtId="0" fontId="6" fillId="2" borderId="0" xfId="0" applyFont="1" applyFill="1" applyBorder="1" applyAlignment="1">
      <alignment horizontal="center"/>
    </xf>
    <xf numFmtId="0" fontId="10" fillId="2" borderId="0" xfId="0" applyFont="1"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2" fontId="1" fillId="2" borderId="0" xfId="0" applyNumberFormat="1" applyFont="1" applyFill="1" applyAlignment="1">
      <alignment horizontal="center"/>
    </xf>
    <xf numFmtId="165" fontId="1" fillId="2" borderId="0" xfId="0" applyNumberFormat="1" applyFont="1" applyFill="1" applyBorder="1" applyAlignment="1">
      <alignment horizontal="center"/>
    </xf>
    <xf numFmtId="0" fontId="0" fillId="2" borderId="2" xfId="0" applyFill="1" applyBorder="1"/>
    <xf numFmtId="0" fontId="0" fillId="2" borderId="2" xfId="0" applyFill="1" applyBorder="1" applyAlignment="1">
      <alignment horizontal="center"/>
    </xf>
    <xf numFmtId="165" fontId="0" fillId="2" borderId="2" xfId="0" applyNumberFormat="1" applyFill="1" applyBorder="1" applyAlignment="1">
      <alignment horizontal="center"/>
    </xf>
    <xf numFmtId="0" fontId="25" fillId="2" borderId="0" xfId="0" applyFont="1" applyFill="1" applyAlignment="1">
      <alignment horizontal="left" vertical="top" wrapText="1"/>
    </xf>
    <xf numFmtId="0" fontId="0" fillId="2" borderId="0" xfId="0" applyFill="1" applyAlignment="1">
      <alignment horizontal="left" vertical="top" wrapText="1"/>
    </xf>
    <xf numFmtId="0" fontId="26" fillId="2" borderId="0" xfId="0" applyFont="1" applyFill="1" applyAlignment="1">
      <alignment horizontal="left" vertical="top" wrapText="1"/>
    </xf>
    <xf numFmtId="0" fontId="26" fillId="2" borderId="0" xfId="0" applyFont="1" applyFill="1" applyAlignment="1">
      <alignment horizontal="center" vertical="top" wrapText="1"/>
    </xf>
    <xf numFmtId="0" fontId="26" fillId="2" borderId="0" xfId="0" applyFont="1" applyFill="1" applyBorder="1" applyAlignment="1">
      <alignment horizontal="center" vertical="top" wrapText="1"/>
    </xf>
    <xf numFmtId="0" fontId="26" fillId="2" borderId="0" xfId="0" applyFont="1" applyFill="1" applyBorder="1" applyAlignment="1">
      <alignment horizontal="left" vertical="top" wrapText="1"/>
    </xf>
    <xf numFmtId="0" fontId="0" fillId="2" borderId="0" xfId="0" applyFill="1" applyAlignment="1">
      <alignment horizontal="center" vertical="top" wrapText="1"/>
    </xf>
    <xf numFmtId="0" fontId="29" fillId="2" borderId="0" xfId="0" applyFont="1" applyFill="1"/>
    <xf numFmtId="0" fontId="29" fillId="2" borderId="0" xfId="0" applyFont="1" applyFill="1" applyAlignment="1">
      <alignment horizontal="center"/>
    </xf>
    <xf numFmtId="0" fontId="29" fillId="2" borderId="0" xfId="0" applyFont="1" applyFill="1" applyBorder="1" applyAlignment="1">
      <alignment horizontal="center"/>
    </xf>
    <xf numFmtId="0" fontId="0" fillId="2" borderId="0" xfId="0" applyFill="1" applyAlignment="1">
      <alignment horizontal="right"/>
    </xf>
    <xf numFmtId="0" fontId="11" fillId="2" borderId="0" xfId="0" applyFont="1" applyFill="1" applyAlignment="1">
      <alignment horizontal="center"/>
    </xf>
    <xf numFmtId="0" fontId="11" fillId="2" borderId="0" xfId="0" applyFont="1" applyFill="1"/>
    <xf numFmtId="0" fontId="11" fillId="2" borderId="0" xfId="0" applyFont="1" applyFill="1" applyBorder="1" applyAlignment="1">
      <alignment horizontal="center"/>
    </xf>
    <xf numFmtId="0" fontId="11" fillId="2" borderId="0" xfId="0" applyFont="1" applyFill="1" applyAlignment="1">
      <alignment wrapText="1"/>
    </xf>
    <xf numFmtId="0" fontId="11" fillId="2" borderId="0" xfId="0" applyFont="1" applyFill="1" applyAlignment="1">
      <alignment horizontal="center" wrapText="1"/>
    </xf>
    <xf numFmtId="0" fontId="11" fillId="2" borderId="0" xfId="0" applyFont="1" applyFill="1" applyBorder="1" applyAlignment="1">
      <alignment horizontal="center" wrapText="1"/>
    </xf>
    <xf numFmtId="0" fontId="11" fillId="2" borderId="0" xfId="0" applyFont="1" applyFill="1" applyBorder="1" applyAlignment="1">
      <alignment wrapText="1"/>
    </xf>
    <xf numFmtId="0" fontId="15" fillId="2" borderId="0" xfId="0" applyFont="1" applyFill="1" applyAlignment="1">
      <alignment wrapText="1"/>
    </xf>
    <xf numFmtId="0" fontId="16" fillId="2" borderId="0" xfId="0" applyFont="1" applyFill="1" applyAlignment="1">
      <alignment horizontal="center" wrapText="1"/>
    </xf>
    <xf numFmtId="0" fontId="15" fillId="2" borderId="3" xfId="0" applyFont="1" applyFill="1" applyBorder="1"/>
    <xf numFmtId="0" fontId="1" fillId="2" borderId="0" xfId="0" applyFont="1" applyFill="1" applyAlignment="1">
      <alignment vertical="center"/>
    </xf>
    <xf numFmtId="0" fontId="16" fillId="2" borderId="0" xfId="0" applyFont="1" applyFill="1" applyAlignment="1">
      <alignment horizontal="center" vertical="center"/>
    </xf>
    <xf numFmtId="0" fontId="9" fillId="2" borderId="1" xfId="0" applyFont="1" applyFill="1" applyBorder="1" applyAlignment="1">
      <alignment vertical="center"/>
    </xf>
    <xf numFmtId="0" fontId="0" fillId="0" borderId="0" xfId="0" applyAlignment="1">
      <alignment vertical="top"/>
    </xf>
    <xf numFmtId="0" fontId="25" fillId="0" borderId="0" xfId="0" applyFont="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0" fillId="0" borderId="0" xfId="0" applyAlignment="1">
      <alignment vertical="top"/>
    </xf>
    <xf numFmtId="0" fontId="3" fillId="0" borderId="0" xfId="0" applyFont="1" applyBorder="1"/>
    <xf numFmtId="0" fontId="6" fillId="0" borderId="0" xfId="0" applyFont="1" applyBorder="1"/>
    <xf numFmtId="0" fontId="25" fillId="0" borderId="0" xfId="0" applyFont="1" applyBorder="1" applyAlignment="1">
      <alignment horizontal="left" vertical="top" wrapText="1"/>
    </xf>
    <xf numFmtId="0" fontId="26" fillId="0" borderId="0" xfId="0" applyFont="1" applyBorder="1" applyAlignment="1">
      <alignment horizontal="left" vertical="top" wrapText="1"/>
    </xf>
    <xf numFmtId="0" fontId="11" fillId="0" borderId="0" xfId="0" applyFont="1" applyBorder="1"/>
    <xf numFmtId="0" fontId="11" fillId="0" borderId="0" xfId="0" applyFont="1" applyBorder="1" applyAlignment="1">
      <alignment wrapText="1"/>
    </xf>
    <xf numFmtId="0" fontId="24" fillId="0" borderId="0" xfId="0" applyFont="1"/>
    <xf numFmtId="176" fontId="24" fillId="2" borderId="0" xfId="6" applyNumberFormat="1" applyFont="1" applyFill="1" applyAlignment="1">
      <alignment horizontal="center"/>
    </xf>
    <xf numFmtId="176" fontId="24" fillId="2" borderId="0" xfId="4" applyNumberFormat="1" applyFont="1" applyFill="1" applyAlignment="1">
      <alignment horizontal="center"/>
    </xf>
    <xf numFmtId="165" fontId="1" fillId="2" borderId="0" xfId="0" applyNumberFormat="1" applyFont="1" applyFill="1" applyAlignment="1">
      <alignment horizontal="center" vertical="center"/>
    </xf>
    <xf numFmtId="165" fontId="1" fillId="2" borderId="0" xfId="0" applyNumberFormat="1" applyFont="1" applyFill="1" applyBorder="1" applyAlignment="1">
      <alignment horizontal="center" vertical="center"/>
    </xf>
    <xf numFmtId="0" fontId="14" fillId="0" borderId="0" xfId="0" applyFont="1" applyAlignment="1">
      <alignment horizontal="justify" vertical="top" wrapText="1"/>
    </xf>
    <xf numFmtId="0" fontId="14" fillId="0" borderId="0" xfId="0" applyFont="1" applyAlignment="1">
      <alignment horizontal="justify" vertical="top"/>
    </xf>
    <xf numFmtId="0" fontId="0" fillId="0" borderId="0" xfId="0" applyAlignment="1">
      <alignment vertical="top"/>
    </xf>
    <xf numFmtId="165" fontId="9" fillId="0" borderId="0" xfId="0" applyNumberFormat="1" applyFont="1" applyBorder="1" applyAlignment="1">
      <alignment horizontal="center" vertical="center"/>
    </xf>
    <xf numFmtId="165" fontId="9" fillId="0" borderId="0" xfId="0" applyNumberFormat="1" applyFont="1" applyAlignment="1">
      <alignment horizontal="center"/>
    </xf>
    <xf numFmtId="169" fontId="17" fillId="2" borderId="0" xfId="0" applyNumberFormat="1" applyFont="1" applyFill="1" applyAlignment="1">
      <alignment horizontal="center"/>
    </xf>
    <xf numFmtId="0" fontId="14" fillId="0" borderId="0" xfId="0" applyFont="1" applyAlignment="1">
      <alignment horizontal="justify" vertical="top" wrapText="1"/>
    </xf>
    <xf numFmtId="165" fontId="9" fillId="2" borderId="1" xfId="2" applyNumberFormat="1" applyFont="1" applyFill="1" applyBorder="1" applyAlignment="1">
      <alignment horizontal="center"/>
    </xf>
    <xf numFmtId="0" fontId="25" fillId="2" borderId="0" xfId="0" applyFont="1" applyFill="1" applyBorder="1" applyAlignment="1">
      <alignment horizontal="left" vertical="top" wrapText="1"/>
    </xf>
    <xf numFmtId="0" fontId="14" fillId="2" borderId="0" xfId="0" applyFont="1" applyFill="1" applyAlignment="1">
      <alignment horizontal="justify" vertical="top" wrapText="1"/>
    </xf>
    <xf numFmtId="0" fontId="16" fillId="2" borderId="0" xfId="0" applyFont="1" applyFill="1" applyBorder="1" applyAlignment="1">
      <alignment horizontal="center"/>
    </xf>
    <xf numFmtId="0" fontId="16" fillId="2" borderId="0" xfId="0" applyFont="1" applyFill="1" applyAlignment="1">
      <alignment horizontal="center"/>
    </xf>
    <xf numFmtId="165" fontId="17" fillId="2" borderId="1" xfId="0" applyNumberFormat="1" applyFont="1" applyFill="1" applyBorder="1" applyAlignment="1">
      <alignment horizontal="center" vertical="center"/>
    </xf>
    <xf numFmtId="165" fontId="16" fillId="2" borderId="0" xfId="0" applyNumberFormat="1" applyFont="1" applyFill="1" applyAlignment="1">
      <alignment horizontal="center"/>
    </xf>
    <xf numFmtId="0" fontId="3" fillId="2" borderId="0" xfId="2" applyFont="1" applyFill="1" applyAlignment="1">
      <alignment horizontal="center" vertical="center"/>
    </xf>
    <xf numFmtId="0" fontId="1" fillId="2" borderId="0" xfId="2" applyFill="1" applyAlignment="1">
      <alignment horizontal="center" vertical="center"/>
    </xf>
    <xf numFmtId="0" fontId="1" fillId="2" borderId="2" xfId="2" applyFill="1" applyBorder="1" applyAlignment="1">
      <alignment horizontal="center" vertical="center"/>
    </xf>
    <xf numFmtId="172" fontId="0" fillId="2" borderId="0" xfId="0" applyNumberFormat="1" applyFill="1" applyAlignment="1">
      <alignment horizontal="center"/>
    </xf>
    <xf numFmtId="167" fontId="0" fillId="2" borderId="0" xfId="3" applyNumberFormat="1" applyFont="1" applyFill="1" applyAlignment="1">
      <alignment horizontal="center" vertical="center"/>
    </xf>
    <xf numFmtId="167" fontId="9" fillId="2" borderId="0" xfId="3" applyNumberFormat="1" applyFont="1" applyFill="1" applyAlignment="1">
      <alignment horizontal="center" vertical="center"/>
    </xf>
    <xf numFmtId="165" fontId="17" fillId="2" borderId="0" xfId="0" applyNumberFormat="1" applyFont="1" applyFill="1" applyAlignment="1">
      <alignment horizontal="center"/>
    </xf>
    <xf numFmtId="165" fontId="16" fillId="2" borderId="0" xfId="0" quotePrefix="1" applyNumberFormat="1" applyFont="1" applyFill="1" applyAlignment="1">
      <alignment horizontal="center"/>
    </xf>
    <xf numFmtId="167" fontId="9" fillId="2" borderId="2" xfId="3" applyNumberFormat="1" applyFont="1" applyFill="1" applyBorder="1" applyAlignment="1">
      <alignment horizontal="center" vertical="center"/>
    </xf>
    <xf numFmtId="167" fontId="9" fillId="2" borderId="1" xfId="3" applyNumberFormat="1" applyFont="1" applyFill="1" applyBorder="1" applyAlignment="1">
      <alignment horizontal="center" vertical="center"/>
    </xf>
    <xf numFmtId="0" fontId="19" fillId="2" borderId="0" xfId="0" applyFont="1" applyFill="1"/>
    <xf numFmtId="0" fontId="16" fillId="2" borderId="0" xfId="0" applyFont="1" applyFill="1"/>
    <xf numFmtId="0" fontId="3" fillId="2" borderId="0" xfId="2" applyFont="1" applyFill="1" applyAlignment="1">
      <alignment horizontal="right"/>
    </xf>
    <xf numFmtId="166" fontId="9" fillId="2" borderId="1" xfId="2" applyNumberFormat="1" applyFont="1" applyFill="1" applyBorder="1" applyAlignment="1">
      <alignment horizontal="center" vertical="center"/>
    </xf>
    <xf numFmtId="165" fontId="1" fillId="2" borderId="0" xfId="2" applyNumberFormat="1" applyFill="1" applyAlignment="1">
      <alignment horizontal="center"/>
    </xf>
    <xf numFmtId="166" fontId="1" fillId="2" borderId="0" xfId="2" applyNumberFormat="1" applyFill="1" applyAlignment="1">
      <alignment horizontal="center"/>
    </xf>
    <xf numFmtId="169" fontId="9" fillId="2" borderId="2" xfId="2" applyNumberFormat="1" applyFont="1" applyFill="1" applyBorder="1" applyAlignment="1">
      <alignment horizontal="center" vertical="center"/>
    </xf>
    <xf numFmtId="165" fontId="9" fillId="2" borderId="2" xfId="2" applyNumberFormat="1" applyFont="1" applyFill="1" applyBorder="1" applyAlignment="1">
      <alignment horizontal="center" vertical="center"/>
    </xf>
    <xf numFmtId="43" fontId="1" fillId="2" borderId="0" xfId="5" applyFont="1" applyFill="1" applyAlignment="1">
      <alignment horizontal="center"/>
    </xf>
    <xf numFmtId="166" fontId="1" fillId="2" borderId="0" xfId="2" applyNumberFormat="1" applyFill="1" applyAlignment="1">
      <alignment horizontal="center" vertical="center"/>
    </xf>
    <xf numFmtId="166" fontId="1" fillId="2" borderId="0" xfId="2" quotePrefix="1" applyNumberFormat="1" applyFill="1" applyAlignment="1">
      <alignment horizontal="center" vertical="center"/>
    </xf>
    <xf numFmtId="43" fontId="1" fillId="2" borderId="0" xfId="5" quotePrefix="1" applyFont="1" applyFill="1" applyAlignment="1">
      <alignment horizontal="center" vertical="center"/>
    </xf>
    <xf numFmtId="43" fontId="1" fillId="2" borderId="0" xfId="5" applyFont="1" applyFill="1" applyAlignment="1">
      <alignment horizontal="center" vertical="center"/>
    </xf>
    <xf numFmtId="0" fontId="14" fillId="0" borderId="0" xfId="0" applyFont="1" applyAlignment="1">
      <alignment horizontal="justify" vertical="top" wrapText="1"/>
    </xf>
    <xf numFmtId="0" fontId="14" fillId="0" borderId="0" xfId="0" applyFont="1" applyAlignment="1">
      <alignment horizontal="justify" vertical="top" wrapText="1"/>
    </xf>
    <xf numFmtId="0" fontId="0" fillId="0" borderId="0" xfId="0" applyAlignment="1">
      <alignment vertical="top"/>
    </xf>
    <xf numFmtId="0" fontId="9" fillId="0" borderId="0" xfId="2" applyFont="1" applyBorder="1"/>
    <xf numFmtId="172" fontId="9" fillId="0" borderId="1" xfId="2" applyNumberFormat="1" applyFont="1" applyBorder="1" applyAlignment="1">
      <alignment horizontal="center" vertical="center"/>
    </xf>
    <xf numFmtId="0" fontId="9" fillId="2" borderId="0" xfId="0" applyFont="1" applyFill="1" applyAlignment="1">
      <alignment vertical="center"/>
    </xf>
    <xf numFmtId="165"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9" fillId="0" borderId="0" xfId="0" applyFont="1" applyAlignment="1">
      <alignment horizontal="center" vertical="center"/>
    </xf>
    <xf numFmtId="166" fontId="9" fillId="2" borderId="0" xfId="0" applyNumberFormat="1" applyFont="1" applyFill="1" applyAlignment="1">
      <alignment horizontal="center" vertical="center"/>
    </xf>
    <xf numFmtId="0" fontId="17" fillId="0" borderId="0" xfId="0" applyFont="1" applyAlignment="1">
      <alignment horizontal="center" vertical="center"/>
    </xf>
    <xf numFmtId="0" fontId="10" fillId="2" borderId="0" xfId="0" quotePrefix="1" applyFont="1" applyFill="1" applyBorder="1" applyAlignment="1">
      <alignment horizontal="left" vertical="center"/>
    </xf>
    <xf numFmtId="0" fontId="14" fillId="0" borderId="0" xfId="0" applyFont="1" applyAlignment="1">
      <alignment horizontal="justify" vertical="top" wrapText="1"/>
    </xf>
    <xf numFmtId="0" fontId="0" fillId="0" borderId="0" xfId="0" applyAlignment="1">
      <alignment vertical="top"/>
    </xf>
    <xf numFmtId="0" fontId="14" fillId="0" borderId="0" xfId="0" applyFont="1" applyAlignment="1">
      <alignment horizontal="justify" vertical="top" wrapText="1"/>
    </xf>
    <xf numFmtId="0" fontId="25" fillId="0" borderId="0" xfId="0" applyFont="1" applyAlignment="1">
      <alignment horizontal="left" vertical="top" wrapText="1"/>
    </xf>
    <xf numFmtId="166" fontId="16" fillId="2" borderId="0" xfId="0" applyNumberFormat="1" applyFont="1" applyFill="1" applyAlignment="1">
      <alignment horizontal="center" vertical="center"/>
    </xf>
    <xf numFmtId="0" fontId="14" fillId="0" borderId="0" xfId="0" applyFont="1" applyAlignment="1">
      <alignment horizontal="justify" vertical="top" wrapText="1"/>
    </xf>
    <xf numFmtId="0" fontId="25" fillId="0" borderId="0" xfId="0" applyFont="1" applyAlignment="1">
      <alignment horizontal="left" vertical="top" wrapText="1"/>
    </xf>
    <xf numFmtId="0" fontId="1" fillId="2" borderId="1" xfId="2" applyFill="1" applyBorder="1"/>
    <xf numFmtId="0" fontId="14" fillId="0" borderId="0" xfId="0" applyFont="1" applyAlignment="1">
      <alignment horizontal="justify"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xf numFmtId="0" fontId="26" fillId="0" borderId="0" xfId="0" applyFont="1" applyAlignment="1">
      <alignment horizontal="left" vertical="top" wrapText="1"/>
    </xf>
    <xf numFmtId="0" fontId="25"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Alignment="1">
      <alignment horizontal="left" vertical="top" wrapText="1"/>
    </xf>
    <xf numFmtId="0" fontId="20" fillId="0" borderId="0" xfId="0" applyFont="1" applyFill="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0" fillId="0" borderId="0" xfId="0" applyAlignment="1">
      <alignment vertical="top"/>
    </xf>
    <xf numFmtId="0" fontId="20" fillId="2" borderId="0" xfId="0" applyFont="1" applyFill="1" applyAlignment="1">
      <alignment horizontal="left" vertical="top" wrapText="1"/>
    </xf>
    <xf numFmtId="0" fontId="16" fillId="0" borderId="0" xfId="0" applyFont="1" applyAlignment="1"/>
    <xf numFmtId="0" fontId="0" fillId="0" borderId="0" xfId="0" applyAlignment="1"/>
    <xf numFmtId="0" fontId="5" fillId="2" borderId="0" xfId="0" applyFont="1" applyFill="1"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wrapText="1"/>
    </xf>
    <xf numFmtId="0" fontId="27" fillId="0" borderId="0" xfId="0" applyFont="1" applyAlignment="1">
      <alignment horizontal="left" vertical="top" wrapText="1"/>
    </xf>
    <xf numFmtId="0" fontId="4" fillId="2" borderId="0" xfId="0" applyFont="1" applyFill="1" applyAlignment="1">
      <alignment vertical="center"/>
    </xf>
    <xf numFmtId="165" fontId="9" fillId="0" borderId="0" xfId="0" applyNumberFormat="1" applyFont="1" applyAlignment="1">
      <alignment horizontal="center" vertical="center"/>
    </xf>
    <xf numFmtId="0" fontId="14" fillId="0" borderId="0" xfId="0" applyFont="1" applyFill="1" applyAlignment="1">
      <alignment horizontal="left" vertical="top" wrapText="1"/>
    </xf>
    <xf numFmtId="165" fontId="9" fillId="2" borderId="0" xfId="0" applyNumberFormat="1" applyFont="1" applyFill="1" applyAlignment="1">
      <alignment horizontal="center" vertical="center"/>
    </xf>
    <xf numFmtId="165" fontId="9" fillId="2" borderId="0" xfId="0" applyNumberFormat="1" applyFont="1" applyFill="1" applyAlignment="1">
      <alignment horizontal="center"/>
    </xf>
    <xf numFmtId="165" fontId="0" fillId="2" borderId="0" xfId="0" quotePrefix="1" applyNumberFormat="1" applyFill="1" applyAlignment="1">
      <alignment horizontal="center"/>
    </xf>
    <xf numFmtId="166" fontId="1" fillId="2" borderId="0" xfId="0" applyNumberFormat="1" applyFont="1" applyFill="1" applyAlignment="1">
      <alignment horizontal="center"/>
    </xf>
    <xf numFmtId="165" fontId="9" fillId="2" borderId="1" xfId="3" applyNumberFormat="1" applyFont="1" applyFill="1" applyBorder="1" applyAlignment="1">
      <alignment horizontal="center" vertical="center"/>
    </xf>
    <xf numFmtId="165" fontId="0" fillId="2" borderId="0" xfId="0" applyNumberFormat="1" applyFill="1" applyAlignment="1">
      <alignment horizontal="center" vertical="center"/>
    </xf>
    <xf numFmtId="0" fontId="23" fillId="2" borderId="0" xfId="2" applyFont="1" applyFill="1"/>
    <xf numFmtId="0" fontId="8" fillId="2" borderId="2" xfId="2" applyFont="1" applyFill="1" applyBorder="1"/>
    <xf numFmtId="172" fontId="9" fillId="2" borderId="1" xfId="2" applyNumberFormat="1" applyFont="1" applyFill="1" applyBorder="1" applyAlignment="1">
      <alignment horizontal="center" vertical="center"/>
    </xf>
    <xf numFmtId="175" fontId="1" fillId="2" borderId="0" xfId="2" applyNumberFormat="1" applyFill="1" applyAlignment="1">
      <alignment horizontal="center"/>
    </xf>
    <xf numFmtId="0" fontId="9" fillId="2" borderId="1" xfId="2" applyFont="1" applyFill="1" applyBorder="1" applyAlignment="1">
      <alignment vertical="center"/>
    </xf>
    <xf numFmtId="166" fontId="1" fillId="0" borderId="0" xfId="2" quotePrefix="1" applyNumberFormat="1" applyAlignment="1">
      <alignment horizontal="center"/>
    </xf>
    <xf numFmtId="165" fontId="9" fillId="0" borderId="1" xfId="0" applyNumberFormat="1" applyFont="1" applyBorder="1" applyAlignment="1">
      <alignment horizontal="center" vertical="center" wrapText="1"/>
    </xf>
    <xf numFmtId="182" fontId="1" fillId="0" borderId="0" xfId="0" applyNumberFormat="1" applyFont="1"/>
    <xf numFmtId="168" fontId="1" fillId="0" borderId="0" xfId="0" applyNumberFormat="1" applyFont="1"/>
    <xf numFmtId="168" fontId="0" fillId="0" borderId="0" xfId="0" applyNumberFormat="1"/>
    <xf numFmtId="168" fontId="1" fillId="0" borderId="1" xfId="3" applyNumberFormat="1" applyFont="1" applyFill="1" applyBorder="1" applyAlignment="1"/>
    <xf numFmtId="1" fontId="10" fillId="2" borderId="6" xfId="0" quotePrefix="1" applyNumberFormat="1" applyFont="1" applyFill="1" applyBorder="1" applyAlignment="1">
      <alignment horizontal="right" vertical="center"/>
    </xf>
    <xf numFmtId="1" fontId="9" fillId="2" borderId="6" xfId="0" quotePrefix="1" applyNumberFormat="1" applyFont="1" applyFill="1" applyBorder="1" applyAlignment="1">
      <alignment horizontal="right" vertical="center"/>
    </xf>
    <xf numFmtId="168" fontId="1" fillId="0" borderId="0" xfId="3" applyNumberFormat="1" applyFont="1" applyFill="1" applyBorder="1" applyAlignment="1"/>
  </cellXfs>
  <cellStyles count="8">
    <cellStyle name="Migliaia" xfId="1" builtinId="3"/>
    <cellStyle name="Migliaia [0] 4" xfId="7" xr:uid="{0A1F2DAE-5229-45B0-8C4B-8F114FAD24EE}"/>
    <cellStyle name="Migliaia 2" xfId="3" xr:uid="{175DB8C8-3381-4AA2-954A-4D1A01980CF3}"/>
    <cellStyle name="Migliaia 3" xfId="5" xr:uid="{6C054E7F-5310-4527-8F3C-C78781C9A804}"/>
    <cellStyle name="Normale" xfId="0" builtinId="0"/>
    <cellStyle name="Normale 2" xfId="2" xr:uid="{3B5632B0-3B4E-4C52-A92B-C54583362B47}"/>
    <cellStyle name="Percentuale" xfId="6" builtinId="5"/>
    <cellStyle name="Percentuale 2" xfId="4" xr:uid="{81E3027A-7637-4BA8-B2A0-DD1C346105D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1" name="Line 2">
          <a:extLst>
            <a:ext uri="{FF2B5EF4-FFF2-40B4-BE49-F238E27FC236}">
              <a16:creationId xmlns:a16="http://schemas.microsoft.com/office/drawing/2014/main" id="{48246238-A65E-42B5-B058-5C040048626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2" name="Line 3">
          <a:extLst>
            <a:ext uri="{FF2B5EF4-FFF2-40B4-BE49-F238E27FC236}">
              <a16:creationId xmlns:a16="http://schemas.microsoft.com/office/drawing/2014/main" id="{0888898C-09E6-419F-A991-5C4046B7B335}"/>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3" name="Line 4">
          <a:extLst>
            <a:ext uri="{FF2B5EF4-FFF2-40B4-BE49-F238E27FC236}">
              <a16:creationId xmlns:a16="http://schemas.microsoft.com/office/drawing/2014/main" id="{33ECBF3C-8DC9-4A51-A73D-CEB1C1115F5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4" name="Line 5">
          <a:extLst>
            <a:ext uri="{FF2B5EF4-FFF2-40B4-BE49-F238E27FC236}">
              <a16:creationId xmlns:a16="http://schemas.microsoft.com/office/drawing/2014/main" id="{D289E2F1-EA5B-4B04-96D4-49FA965BB0C5}"/>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5" name="Line 2">
          <a:extLst>
            <a:ext uri="{FF2B5EF4-FFF2-40B4-BE49-F238E27FC236}">
              <a16:creationId xmlns:a16="http://schemas.microsoft.com/office/drawing/2014/main" id="{69AABCC4-3B7B-44D2-8B04-1C25DDFA8FD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6" name="Line 3">
          <a:extLst>
            <a:ext uri="{FF2B5EF4-FFF2-40B4-BE49-F238E27FC236}">
              <a16:creationId xmlns:a16="http://schemas.microsoft.com/office/drawing/2014/main" id="{FF016D49-982F-4897-893E-197300384FE4}"/>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7" name="Line 4">
          <a:extLst>
            <a:ext uri="{FF2B5EF4-FFF2-40B4-BE49-F238E27FC236}">
              <a16:creationId xmlns:a16="http://schemas.microsoft.com/office/drawing/2014/main" id="{2693671F-B487-446C-B164-2D49697BC60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8" name="Line 5">
          <a:extLst>
            <a:ext uri="{FF2B5EF4-FFF2-40B4-BE49-F238E27FC236}">
              <a16:creationId xmlns:a16="http://schemas.microsoft.com/office/drawing/2014/main" id="{CF5B214B-D4A6-4684-B7F4-66F529A8E56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9" name="Line 2">
          <a:extLst>
            <a:ext uri="{FF2B5EF4-FFF2-40B4-BE49-F238E27FC236}">
              <a16:creationId xmlns:a16="http://schemas.microsoft.com/office/drawing/2014/main" id="{6D824922-4066-4CE9-9BDD-C0F913D264D9}"/>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0" name="Line 3">
          <a:extLst>
            <a:ext uri="{FF2B5EF4-FFF2-40B4-BE49-F238E27FC236}">
              <a16:creationId xmlns:a16="http://schemas.microsoft.com/office/drawing/2014/main" id="{0D485BE6-16BF-4343-B422-91BB6082A2D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1" name="Line 4">
          <a:extLst>
            <a:ext uri="{FF2B5EF4-FFF2-40B4-BE49-F238E27FC236}">
              <a16:creationId xmlns:a16="http://schemas.microsoft.com/office/drawing/2014/main" id="{197E0632-2D5E-46C4-BEED-DA6D95577428}"/>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2" name="Line 1">
          <a:extLst>
            <a:ext uri="{FF2B5EF4-FFF2-40B4-BE49-F238E27FC236}">
              <a16:creationId xmlns:a16="http://schemas.microsoft.com/office/drawing/2014/main" id="{AC2AE19C-F745-4388-8C54-7C97544359D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3" name="Line 2">
          <a:extLst>
            <a:ext uri="{FF2B5EF4-FFF2-40B4-BE49-F238E27FC236}">
              <a16:creationId xmlns:a16="http://schemas.microsoft.com/office/drawing/2014/main" id="{3109CDB9-2D58-4D19-B7D4-0577DE0B0D5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4" name="Line 9">
          <a:extLst>
            <a:ext uri="{FF2B5EF4-FFF2-40B4-BE49-F238E27FC236}">
              <a16:creationId xmlns:a16="http://schemas.microsoft.com/office/drawing/2014/main" id="{3E90BD73-C8D1-427E-A5CA-0C587C3FEE3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5" name="Line 10">
          <a:extLst>
            <a:ext uri="{FF2B5EF4-FFF2-40B4-BE49-F238E27FC236}">
              <a16:creationId xmlns:a16="http://schemas.microsoft.com/office/drawing/2014/main" id="{11A1FBCC-7064-4FC8-AFD9-3AB6188F47F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6" name="Line 11">
          <a:extLst>
            <a:ext uri="{FF2B5EF4-FFF2-40B4-BE49-F238E27FC236}">
              <a16:creationId xmlns:a16="http://schemas.microsoft.com/office/drawing/2014/main" id="{09349F66-5154-4571-B52D-7944CAE5A1D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7" name="Line 12">
          <a:extLst>
            <a:ext uri="{FF2B5EF4-FFF2-40B4-BE49-F238E27FC236}">
              <a16:creationId xmlns:a16="http://schemas.microsoft.com/office/drawing/2014/main" id="{9DE666E6-B7DB-4BD3-8929-1DDB0A210CEF}"/>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8" name="Line 13">
          <a:extLst>
            <a:ext uri="{FF2B5EF4-FFF2-40B4-BE49-F238E27FC236}">
              <a16:creationId xmlns:a16="http://schemas.microsoft.com/office/drawing/2014/main" id="{8BE1A6F6-DF55-464B-BEB7-2CEC292814C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9" name="Line 14">
          <a:extLst>
            <a:ext uri="{FF2B5EF4-FFF2-40B4-BE49-F238E27FC236}">
              <a16:creationId xmlns:a16="http://schemas.microsoft.com/office/drawing/2014/main" id="{551368E1-996A-40B5-B8B1-11D0E0D93F9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5" name="Line 2">
          <a:extLst>
            <a:ext uri="{FF2B5EF4-FFF2-40B4-BE49-F238E27FC236}">
              <a16:creationId xmlns:a16="http://schemas.microsoft.com/office/drawing/2014/main" id="{08ABADF8-57D5-4A21-99AA-F401706C296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6" name="Line 3">
          <a:extLst>
            <a:ext uri="{FF2B5EF4-FFF2-40B4-BE49-F238E27FC236}">
              <a16:creationId xmlns:a16="http://schemas.microsoft.com/office/drawing/2014/main" id="{937E9203-A9D0-4F81-A270-C7579E70325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7" name="Line 4">
          <a:extLst>
            <a:ext uri="{FF2B5EF4-FFF2-40B4-BE49-F238E27FC236}">
              <a16:creationId xmlns:a16="http://schemas.microsoft.com/office/drawing/2014/main" id="{19E8EFD2-1EB9-4887-AE36-0BFA3C5528A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8" name="Line 5">
          <a:extLst>
            <a:ext uri="{FF2B5EF4-FFF2-40B4-BE49-F238E27FC236}">
              <a16:creationId xmlns:a16="http://schemas.microsoft.com/office/drawing/2014/main" id="{DFA4CF6B-7F03-49EE-8238-BD7DAE2EBFA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9" name="Line 2">
          <a:extLst>
            <a:ext uri="{FF2B5EF4-FFF2-40B4-BE49-F238E27FC236}">
              <a16:creationId xmlns:a16="http://schemas.microsoft.com/office/drawing/2014/main" id="{1DF747C0-0268-4E4B-9D6E-3F9A0D4971A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0" name="Line 3">
          <a:extLst>
            <a:ext uri="{FF2B5EF4-FFF2-40B4-BE49-F238E27FC236}">
              <a16:creationId xmlns:a16="http://schemas.microsoft.com/office/drawing/2014/main" id="{EB8E81C3-17FD-4B0A-8ED3-299792A2399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1" name="Line 4">
          <a:extLst>
            <a:ext uri="{FF2B5EF4-FFF2-40B4-BE49-F238E27FC236}">
              <a16:creationId xmlns:a16="http://schemas.microsoft.com/office/drawing/2014/main" id="{B35EE523-F32A-4F98-A617-94FE17E1470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2" name="Line 5">
          <a:extLst>
            <a:ext uri="{FF2B5EF4-FFF2-40B4-BE49-F238E27FC236}">
              <a16:creationId xmlns:a16="http://schemas.microsoft.com/office/drawing/2014/main" id="{52553FBB-3644-4ED1-87AD-50457E64119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3" name="Line 2">
          <a:extLst>
            <a:ext uri="{FF2B5EF4-FFF2-40B4-BE49-F238E27FC236}">
              <a16:creationId xmlns:a16="http://schemas.microsoft.com/office/drawing/2014/main" id="{C9C71573-4741-4207-A3AF-5289E98DF41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4" name="Line 3">
          <a:extLst>
            <a:ext uri="{FF2B5EF4-FFF2-40B4-BE49-F238E27FC236}">
              <a16:creationId xmlns:a16="http://schemas.microsoft.com/office/drawing/2014/main" id="{7AC69DD6-6725-415D-967D-836999807D2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5" name="Line 4">
          <a:extLst>
            <a:ext uri="{FF2B5EF4-FFF2-40B4-BE49-F238E27FC236}">
              <a16:creationId xmlns:a16="http://schemas.microsoft.com/office/drawing/2014/main" id="{C8C67515-CC9E-4CE1-90E0-5F1B39ABC6C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6" name="Line 1">
          <a:extLst>
            <a:ext uri="{FF2B5EF4-FFF2-40B4-BE49-F238E27FC236}">
              <a16:creationId xmlns:a16="http://schemas.microsoft.com/office/drawing/2014/main" id="{7EDCB510-D94B-4EAC-9E08-A1BA29B8A6B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7" name="Line 2">
          <a:extLst>
            <a:ext uri="{FF2B5EF4-FFF2-40B4-BE49-F238E27FC236}">
              <a16:creationId xmlns:a16="http://schemas.microsoft.com/office/drawing/2014/main" id="{CFF98B27-8C44-433E-9EA2-71C81436462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8" name="Line 9">
          <a:extLst>
            <a:ext uri="{FF2B5EF4-FFF2-40B4-BE49-F238E27FC236}">
              <a16:creationId xmlns:a16="http://schemas.microsoft.com/office/drawing/2014/main" id="{F357E13C-012F-4BC0-AC55-67EED2D8698F}"/>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89" name="Line 10">
          <a:extLst>
            <a:ext uri="{FF2B5EF4-FFF2-40B4-BE49-F238E27FC236}">
              <a16:creationId xmlns:a16="http://schemas.microsoft.com/office/drawing/2014/main" id="{A3D76DAE-DA30-46A6-AE03-2AE7A27400B9}"/>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90" name="Line 11">
          <a:extLst>
            <a:ext uri="{FF2B5EF4-FFF2-40B4-BE49-F238E27FC236}">
              <a16:creationId xmlns:a16="http://schemas.microsoft.com/office/drawing/2014/main" id="{515F8543-4353-42B4-8E25-05C7CA5AB5C5}"/>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91" name="Line 12">
          <a:extLst>
            <a:ext uri="{FF2B5EF4-FFF2-40B4-BE49-F238E27FC236}">
              <a16:creationId xmlns:a16="http://schemas.microsoft.com/office/drawing/2014/main" id="{F9792E7C-B2CF-45BC-BA96-92A3D018B64F}"/>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92" name="Line 13">
          <a:extLst>
            <a:ext uri="{FF2B5EF4-FFF2-40B4-BE49-F238E27FC236}">
              <a16:creationId xmlns:a16="http://schemas.microsoft.com/office/drawing/2014/main" id="{2E22D345-4E66-426A-B887-79669F0D73B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93" name="Line 14">
          <a:extLst>
            <a:ext uri="{FF2B5EF4-FFF2-40B4-BE49-F238E27FC236}">
              <a16:creationId xmlns:a16="http://schemas.microsoft.com/office/drawing/2014/main" id="{425EDD3A-2A8D-4F14-90AB-7E6016CC1699}"/>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0" name="Line 2">
          <a:extLst>
            <a:ext uri="{FF2B5EF4-FFF2-40B4-BE49-F238E27FC236}">
              <a16:creationId xmlns:a16="http://schemas.microsoft.com/office/drawing/2014/main" id="{DF8CFF76-E415-43B1-8A8B-0AABF071AC7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1" name="Line 3">
          <a:extLst>
            <a:ext uri="{FF2B5EF4-FFF2-40B4-BE49-F238E27FC236}">
              <a16:creationId xmlns:a16="http://schemas.microsoft.com/office/drawing/2014/main" id="{5D1A1F7B-8BEA-402A-962C-19C468B7585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2" name="Line 4">
          <a:extLst>
            <a:ext uri="{FF2B5EF4-FFF2-40B4-BE49-F238E27FC236}">
              <a16:creationId xmlns:a16="http://schemas.microsoft.com/office/drawing/2014/main" id="{39D5544C-9152-4848-8503-9110D2EB2D5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3" name="Line 5">
          <a:extLst>
            <a:ext uri="{FF2B5EF4-FFF2-40B4-BE49-F238E27FC236}">
              <a16:creationId xmlns:a16="http://schemas.microsoft.com/office/drawing/2014/main" id="{28B9E017-93A9-4D9E-8D0F-A203F7239F6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4" name="Line 2">
          <a:extLst>
            <a:ext uri="{FF2B5EF4-FFF2-40B4-BE49-F238E27FC236}">
              <a16:creationId xmlns:a16="http://schemas.microsoft.com/office/drawing/2014/main" id="{CC172158-DF26-41DF-9D8E-3383F8FFDCE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5" name="Line 3">
          <a:extLst>
            <a:ext uri="{FF2B5EF4-FFF2-40B4-BE49-F238E27FC236}">
              <a16:creationId xmlns:a16="http://schemas.microsoft.com/office/drawing/2014/main" id="{B8DDB4B8-06E5-41E9-9821-D2DE205A92A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6" name="Line 4">
          <a:extLst>
            <a:ext uri="{FF2B5EF4-FFF2-40B4-BE49-F238E27FC236}">
              <a16:creationId xmlns:a16="http://schemas.microsoft.com/office/drawing/2014/main" id="{7427EBF4-86B8-4878-90FB-054DE6518F7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7" name="Line 5">
          <a:extLst>
            <a:ext uri="{FF2B5EF4-FFF2-40B4-BE49-F238E27FC236}">
              <a16:creationId xmlns:a16="http://schemas.microsoft.com/office/drawing/2014/main" id="{0F8AB1AD-7E6D-497F-8F42-4C35A1B1AC1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8" name="Line 2">
          <a:extLst>
            <a:ext uri="{FF2B5EF4-FFF2-40B4-BE49-F238E27FC236}">
              <a16:creationId xmlns:a16="http://schemas.microsoft.com/office/drawing/2014/main" id="{E8DB49EE-58E0-4329-95FE-3A3D285780A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9" name="Line 3">
          <a:extLst>
            <a:ext uri="{FF2B5EF4-FFF2-40B4-BE49-F238E27FC236}">
              <a16:creationId xmlns:a16="http://schemas.microsoft.com/office/drawing/2014/main" id="{E1024886-884B-4AC3-A305-F2867165C59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0" name="Line 4">
          <a:extLst>
            <a:ext uri="{FF2B5EF4-FFF2-40B4-BE49-F238E27FC236}">
              <a16:creationId xmlns:a16="http://schemas.microsoft.com/office/drawing/2014/main" id="{0A1D0F7E-47ED-4B19-8310-2815713C902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1" name="Line 1">
          <a:extLst>
            <a:ext uri="{FF2B5EF4-FFF2-40B4-BE49-F238E27FC236}">
              <a16:creationId xmlns:a16="http://schemas.microsoft.com/office/drawing/2014/main" id="{C55B4F4F-0796-4089-A41A-C42B8638356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2" name="Line 2">
          <a:extLst>
            <a:ext uri="{FF2B5EF4-FFF2-40B4-BE49-F238E27FC236}">
              <a16:creationId xmlns:a16="http://schemas.microsoft.com/office/drawing/2014/main" id="{7FFAA598-14FB-4B53-AE3C-61E99A545C2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3" name="Line 9">
          <a:extLst>
            <a:ext uri="{FF2B5EF4-FFF2-40B4-BE49-F238E27FC236}">
              <a16:creationId xmlns:a16="http://schemas.microsoft.com/office/drawing/2014/main" id="{EC391931-FF3B-492B-BCE4-34C46AD18F4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4" name="Line 10">
          <a:extLst>
            <a:ext uri="{FF2B5EF4-FFF2-40B4-BE49-F238E27FC236}">
              <a16:creationId xmlns:a16="http://schemas.microsoft.com/office/drawing/2014/main" id="{7C39BF0E-9F44-4709-8D50-F9CF4A4B13A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5" name="Line 11">
          <a:extLst>
            <a:ext uri="{FF2B5EF4-FFF2-40B4-BE49-F238E27FC236}">
              <a16:creationId xmlns:a16="http://schemas.microsoft.com/office/drawing/2014/main" id="{2C80887F-9139-43E5-8BE4-F031F547806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6" name="Line 12">
          <a:extLst>
            <a:ext uri="{FF2B5EF4-FFF2-40B4-BE49-F238E27FC236}">
              <a16:creationId xmlns:a16="http://schemas.microsoft.com/office/drawing/2014/main" id="{CC502C29-4388-43FD-9F0B-D487EE413A8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7" name="Line 13">
          <a:extLst>
            <a:ext uri="{FF2B5EF4-FFF2-40B4-BE49-F238E27FC236}">
              <a16:creationId xmlns:a16="http://schemas.microsoft.com/office/drawing/2014/main" id="{847B47F9-33B7-4E3E-BE97-68155C25B59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8" name="Line 14">
          <a:extLst>
            <a:ext uri="{FF2B5EF4-FFF2-40B4-BE49-F238E27FC236}">
              <a16:creationId xmlns:a16="http://schemas.microsoft.com/office/drawing/2014/main" id="{2E0A1023-FCF6-4D68-9E17-08B83EB4839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2">
          <a:extLst>
            <a:ext uri="{FF2B5EF4-FFF2-40B4-BE49-F238E27FC236}">
              <a16:creationId xmlns:a16="http://schemas.microsoft.com/office/drawing/2014/main" id="{22B320DD-0A27-4CBE-9147-6FD91753B84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3">
          <a:extLst>
            <a:ext uri="{FF2B5EF4-FFF2-40B4-BE49-F238E27FC236}">
              <a16:creationId xmlns:a16="http://schemas.microsoft.com/office/drawing/2014/main" id="{AC32D4AF-FD5F-4C03-8F3D-C64ADF6B1B0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4">
          <a:extLst>
            <a:ext uri="{FF2B5EF4-FFF2-40B4-BE49-F238E27FC236}">
              <a16:creationId xmlns:a16="http://schemas.microsoft.com/office/drawing/2014/main" id="{009873CE-2D1C-4D9F-94C1-C1FFD82CA2D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5">
          <a:extLst>
            <a:ext uri="{FF2B5EF4-FFF2-40B4-BE49-F238E27FC236}">
              <a16:creationId xmlns:a16="http://schemas.microsoft.com/office/drawing/2014/main" id="{BA5E1D72-87B5-46B9-8692-4054A093153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2">
          <a:extLst>
            <a:ext uri="{FF2B5EF4-FFF2-40B4-BE49-F238E27FC236}">
              <a16:creationId xmlns:a16="http://schemas.microsoft.com/office/drawing/2014/main" id="{E9F2CF95-FF26-4453-95F9-4933A6FE7AC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3">
          <a:extLst>
            <a:ext uri="{FF2B5EF4-FFF2-40B4-BE49-F238E27FC236}">
              <a16:creationId xmlns:a16="http://schemas.microsoft.com/office/drawing/2014/main" id="{BB6B7911-EB25-4F07-B519-CC100FCF5C3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4">
          <a:extLst>
            <a:ext uri="{FF2B5EF4-FFF2-40B4-BE49-F238E27FC236}">
              <a16:creationId xmlns:a16="http://schemas.microsoft.com/office/drawing/2014/main" id="{A4909D0D-F05B-46C2-9EF0-25877A80908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9" name="Line 5">
          <a:extLst>
            <a:ext uri="{FF2B5EF4-FFF2-40B4-BE49-F238E27FC236}">
              <a16:creationId xmlns:a16="http://schemas.microsoft.com/office/drawing/2014/main" id="{2FF5406E-1F88-47BA-9072-5E8EBEF4C63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0" name="Line 2">
          <a:extLst>
            <a:ext uri="{FF2B5EF4-FFF2-40B4-BE49-F238E27FC236}">
              <a16:creationId xmlns:a16="http://schemas.microsoft.com/office/drawing/2014/main" id="{85D4D8B2-6941-402D-93B1-E058C184199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1" name="Line 3">
          <a:extLst>
            <a:ext uri="{FF2B5EF4-FFF2-40B4-BE49-F238E27FC236}">
              <a16:creationId xmlns:a16="http://schemas.microsoft.com/office/drawing/2014/main" id="{35E74C56-ED3C-4FEF-9323-9C7FB520C24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2" name="Line 4">
          <a:extLst>
            <a:ext uri="{FF2B5EF4-FFF2-40B4-BE49-F238E27FC236}">
              <a16:creationId xmlns:a16="http://schemas.microsoft.com/office/drawing/2014/main" id="{B994366D-881F-4BA8-85C1-418640AFAAF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3" name="Line 1">
          <a:extLst>
            <a:ext uri="{FF2B5EF4-FFF2-40B4-BE49-F238E27FC236}">
              <a16:creationId xmlns:a16="http://schemas.microsoft.com/office/drawing/2014/main" id="{3F9F639E-FD66-4344-BC22-915F66024BC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4" name="Line 2">
          <a:extLst>
            <a:ext uri="{FF2B5EF4-FFF2-40B4-BE49-F238E27FC236}">
              <a16:creationId xmlns:a16="http://schemas.microsoft.com/office/drawing/2014/main" id="{C9F17278-3DDD-48C0-88C4-1C969E1E34E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5" name="Line 9">
          <a:extLst>
            <a:ext uri="{FF2B5EF4-FFF2-40B4-BE49-F238E27FC236}">
              <a16:creationId xmlns:a16="http://schemas.microsoft.com/office/drawing/2014/main" id="{B8682D5D-80E0-46A1-AD92-F4F86D8821D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6" name="Line 10">
          <a:extLst>
            <a:ext uri="{FF2B5EF4-FFF2-40B4-BE49-F238E27FC236}">
              <a16:creationId xmlns:a16="http://schemas.microsoft.com/office/drawing/2014/main" id="{DB2E9934-0774-4C53-B08D-C42C5F61202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7" name="Line 11">
          <a:extLst>
            <a:ext uri="{FF2B5EF4-FFF2-40B4-BE49-F238E27FC236}">
              <a16:creationId xmlns:a16="http://schemas.microsoft.com/office/drawing/2014/main" id="{BF811B17-1007-40CE-828C-10D03E35734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8" name="Line 12">
          <a:extLst>
            <a:ext uri="{FF2B5EF4-FFF2-40B4-BE49-F238E27FC236}">
              <a16:creationId xmlns:a16="http://schemas.microsoft.com/office/drawing/2014/main" id="{C691F031-7E69-4C6D-8B74-B1B6E0592B3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9" name="Line 13">
          <a:extLst>
            <a:ext uri="{FF2B5EF4-FFF2-40B4-BE49-F238E27FC236}">
              <a16:creationId xmlns:a16="http://schemas.microsoft.com/office/drawing/2014/main" id="{8F0C6A08-30AC-43DC-9585-2C290742ED7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0" name="Line 14">
          <a:extLst>
            <a:ext uri="{FF2B5EF4-FFF2-40B4-BE49-F238E27FC236}">
              <a16:creationId xmlns:a16="http://schemas.microsoft.com/office/drawing/2014/main" id="{05377B29-5827-4189-8900-7597EB4ABA8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1" name="Line 2">
          <a:extLst>
            <a:ext uri="{FF2B5EF4-FFF2-40B4-BE49-F238E27FC236}">
              <a16:creationId xmlns:a16="http://schemas.microsoft.com/office/drawing/2014/main" id="{D7C20D56-107D-4E76-BAC0-46EE062F26CA}"/>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2" name="Line 3">
          <a:extLst>
            <a:ext uri="{FF2B5EF4-FFF2-40B4-BE49-F238E27FC236}">
              <a16:creationId xmlns:a16="http://schemas.microsoft.com/office/drawing/2014/main" id="{F90DB877-D7F9-49B5-A4A5-804E112402F4}"/>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3" name="Line 4">
          <a:extLst>
            <a:ext uri="{FF2B5EF4-FFF2-40B4-BE49-F238E27FC236}">
              <a16:creationId xmlns:a16="http://schemas.microsoft.com/office/drawing/2014/main" id="{D1C4DDF5-48D1-40A5-A3E0-D32366E0AE70}"/>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4" name="Line 5">
          <a:extLst>
            <a:ext uri="{FF2B5EF4-FFF2-40B4-BE49-F238E27FC236}">
              <a16:creationId xmlns:a16="http://schemas.microsoft.com/office/drawing/2014/main" id="{112CAB35-86B4-4D1F-BE6B-F1394E551018}"/>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5" name="Line 2">
          <a:extLst>
            <a:ext uri="{FF2B5EF4-FFF2-40B4-BE49-F238E27FC236}">
              <a16:creationId xmlns:a16="http://schemas.microsoft.com/office/drawing/2014/main" id="{8D040C6C-C5EC-4E08-93FA-13881DCBBE9B}"/>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6" name="Line 3">
          <a:extLst>
            <a:ext uri="{FF2B5EF4-FFF2-40B4-BE49-F238E27FC236}">
              <a16:creationId xmlns:a16="http://schemas.microsoft.com/office/drawing/2014/main" id="{8A95BEFB-73AA-40B5-9204-F0C74E08BD28}"/>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7" name="Line 4">
          <a:extLst>
            <a:ext uri="{FF2B5EF4-FFF2-40B4-BE49-F238E27FC236}">
              <a16:creationId xmlns:a16="http://schemas.microsoft.com/office/drawing/2014/main" id="{A3564440-C86D-48AD-BD5B-3D748D18AE6B}"/>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8" name="Line 5">
          <a:extLst>
            <a:ext uri="{FF2B5EF4-FFF2-40B4-BE49-F238E27FC236}">
              <a16:creationId xmlns:a16="http://schemas.microsoft.com/office/drawing/2014/main" id="{E916C232-1946-48A1-BB8B-F1F72428C451}"/>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29" name="Line 2">
          <a:extLst>
            <a:ext uri="{FF2B5EF4-FFF2-40B4-BE49-F238E27FC236}">
              <a16:creationId xmlns:a16="http://schemas.microsoft.com/office/drawing/2014/main" id="{CAF2D8D7-0BCE-4040-A5F5-667A6469701C}"/>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0" name="Line 3">
          <a:extLst>
            <a:ext uri="{FF2B5EF4-FFF2-40B4-BE49-F238E27FC236}">
              <a16:creationId xmlns:a16="http://schemas.microsoft.com/office/drawing/2014/main" id="{BBA81D91-0D2A-4AE1-B71B-CF071F5E058B}"/>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1" name="Line 4">
          <a:extLst>
            <a:ext uri="{FF2B5EF4-FFF2-40B4-BE49-F238E27FC236}">
              <a16:creationId xmlns:a16="http://schemas.microsoft.com/office/drawing/2014/main" id="{F743DEB6-7A79-47B0-A578-A28057146B0F}"/>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2" name="Line 1">
          <a:extLst>
            <a:ext uri="{FF2B5EF4-FFF2-40B4-BE49-F238E27FC236}">
              <a16:creationId xmlns:a16="http://schemas.microsoft.com/office/drawing/2014/main" id="{3869D6CD-232D-4738-A966-DB96498650A8}"/>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3" name="Line 2">
          <a:extLst>
            <a:ext uri="{FF2B5EF4-FFF2-40B4-BE49-F238E27FC236}">
              <a16:creationId xmlns:a16="http://schemas.microsoft.com/office/drawing/2014/main" id="{494A2729-5605-4EB5-90EB-F741D49B3685}"/>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4" name="Line 9">
          <a:extLst>
            <a:ext uri="{FF2B5EF4-FFF2-40B4-BE49-F238E27FC236}">
              <a16:creationId xmlns:a16="http://schemas.microsoft.com/office/drawing/2014/main" id="{C6F48864-CC95-4724-9C56-4CB3CAF3C5E4}"/>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5" name="Line 10">
          <a:extLst>
            <a:ext uri="{FF2B5EF4-FFF2-40B4-BE49-F238E27FC236}">
              <a16:creationId xmlns:a16="http://schemas.microsoft.com/office/drawing/2014/main" id="{55E53E63-73B7-4353-9EE8-3D34C86CAA42}"/>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6" name="Line 11">
          <a:extLst>
            <a:ext uri="{FF2B5EF4-FFF2-40B4-BE49-F238E27FC236}">
              <a16:creationId xmlns:a16="http://schemas.microsoft.com/office/drawing/2014/main" id="{CEA57560-24AC-4F8E-8F92-696A713216CB}"/>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7" name="Line 12">
          <a:extLst>
            <a:ext uri="{FF2B5EF4-FFF2-40B4-BE49-F238E27FC236}">
              <a16:creationId xmlns:a16="http://schemas.microsoft.com/office/drawing/2014/main" id="{5FB17B2F-8F57-4162-A355-7251A4A2AEB1}"/>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8" name="Line 13">
          <a:extLst>
            <a:ext uri="{FF2B5EF4-FFF2-40B4-BE49-F238E27FC236}">
              <a16:creationId xmlns:a16="http://schemas.microsoft.com/office/drawing/2014/main" id="{A7EB1E9E-7544-4469-8AC5-4FF738D78D06}"/>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39" name="Line 14">
          <a:extLst>
            <a:ext uri="{FF2B5EF4-FFF2-40B4-BE49-F238E27FC236}">
              <a16:creationId xmlns:a16="http://schemas.microsoft.com/office/drawing/2014/main" id="{E3732B8F-9EE4-48BF-BE6C-5794E4114C32}"/>
            </a:ext>
          </a:extLst>
        </xdr:cNvPr>
        <xdr:cNvSpPr>
          <a:spLocks noChangeShapeType="1"/>
        </xdr:cNvSpPr>
      </xdr:nvSpPr>
      <xdr:spPr bwMode="auto">
        <a:xfrm>
          <a:off x="819150" y="422910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0" name="Line 2">
          <a:extLst>
            <a:ext uri="{FF2B5EF4-FFF2-40B4-BE49-F238E27FC236}">
              <a16:creationId xmlns:a16="http://schemas.microsoft.com/office/drawing/2014/main" id="{C9A8DDB2-F80F-4E99-A848-30231172BC9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1" name="Line 3">
          <a:extLst>
            <a:ext uri="{FF2B5EF4-FFF2-40B4-BE49-F238E27FC236}">
              <a16:creationId xmlns:a16="http://schemas.microsoft.com/office/drawing/2014/main" id="{B3EFC232-ED99-433C-B350-3D9C337C137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2" name="Line 4">
          <a:extLst>
            <a:ext uri="{FF2B5EF4-FFF2-40B4-BE49-F238E27FC236}">
              <a16:creationId xmlns:a16="http://schemas.microsoft.com/office/drawing/2014/main" id="{E52DFF21-344D-4044-A610-0BFD7A67178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3" name="Line 5">
          <a:extLst>
            <a:ext uri="{FF2B5EF4-FFF2-40B4-BE49-F238E27FC236}">
              <a16:creationId xmlns:a16="http://schemas.microsoft.com/office/drawing/2014/main" id="{49CD27C4-53E0-4145-824D-6692DB5E4B2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4" name="Line 2">
          <a:extLst>
            <a:ext uri="{FF2B5EF4-FFF2-40B4-BE49-F238E27FC236}">
              <a16:creationId xmlns:a16="http://schemas.microsoft.com/office/drawing/2014/main" id="{18970449-EE71-4800-8F27-D3F7BB3FE54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5" name="Line 3">
          <a:extLst>
            <a:ext uri="{FF2B5EF4-FFF2-40B4-BE49-F238E27FC236}">
              <a16:creationId xmlns:a16="http://schemas.microsoft.com/office/drawing/2014/main" id="{07BB7B13-103F-4271-9BE7-91E762CF6A7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6" name="Line 4">
          <a:extLst>
            <a:ext uri="{FF2B5EF4-FFF2-40B4-BE49-F238E27FC236}">
              <a16:creationId xmlns:a16="http://schemas.microsoft.com/office/drawing/2014/main" id="{F0EF330C-A714-4B16-8A44-16B7FDAECCA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7" name="Line 5">
          <a:extLst>
            <a:ext uri="{FF2B5EF4-FFF2-40B4-BE49-F238E27FC236}">
              <a16:creationId xmlns:a16="http://schemas.microsoft.com/office/drawing/2014/main" id="{2CF0F0BD-02B4-4941-BC38-64156061EF0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8" name="Line 2">
          <a:extLst>
            <a:ext uri="{FF2B5EF4-FFF2-40B4-BE49-F238E27FC236}">
              <a16:creationId xmlns:a16="http://schemas.microsoft.com/office/drawing/2014/main" id="{56DB4496-BC9A-420A-AE4A-2E0960CE357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49" name="Line 3">
          <a:extLst>
            <a:ext uri="{FF2B5EF4-FFF2-40B4-BE49-F238E27FC236}">
              <a16:creationId xmlns:a16="http://schemas.microsoft.com/office/drawing/2014/main" id="{0DD12BCC-EBC5-4130-8B3B-90FD1112D7F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0" name="Line 4">
          <a:extLst>
            <a:ext uri="{FF2B5EF4-FFF2-40B4-BE49-F238E27FC236}">
              <a16:creationId xmlns:a16="http://schemas.microsoft.com/office/drawing/2014/main" id="{C74653CF-0BE4-46AE-BF6C-B83C4EA5C37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1" name="Line 1">
          <a:extLst>
            <a:ext uri="{FF2B5EF4-FFF2-40B4-BE49-F238E27FC236}">
              <a16:creationId xmlns:a16="http://schemas.microsoft.com/office/drawing/2014/main" id="{A2B49198-8CE6-48D5-900F-EE98819793B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2" name="Line 2">
          <a:extLst>
            <a:ext uri="{FF2B5EF4-FFF2-40B4-BE49-F238E27FC236}">
              <a16:creationId xmlns:a16="http://schemas.microsoft.com/office/drawing/2014/main" id="{08E51B9C-F396-4279-AB2A-80AA44E5967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3" name="Line 9">
          <a:extLst>
            <a:ext uri="{FF2B5EF4-FFF2-40B4-BE49-F238E27FC236}">
              <a16:creationId xmlns:a16="http://schemas.microsoft.com/office/drawing/2014/main" id="{282097A2-26E5-434C-9B75-A254CF6512A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4" name="Line 10">
          <a:extLst>
            <a:ext uri="{FF2B5EF4-FFF2-40B4-BE49-F238E27FC236}">
              <a16:creationId xmlns:a16="http://schemas.microsoft.com/office/drawing/2014/main" id="{8B95770C-98AB-4CAF-8FF4-E54A7D34CC4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5" name="Line 11">
          <a:extLst>
            <a:ext uri="{FF2B5EF4-FFF2-40B4-BE49-F238E27FC236}">
              <a16:creationId xmlns:a16="http://schemas.microsoft.com/office/drawing/2014/main" id="{67BAA2E2-0050-4FB8-8D17-980011EA125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6" name="Line 12">
          <a:extLst>
            <a:ext uri="{FF2B5EF4-FFF2-40B4-BE49-F238E27FC236}">
              <a16:creationId xmlns:a16="http://schemas.microsoft.com/office/drawing/2014/main" id="{D53CF585-5839-40EA-99F6-34EF6DB835F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7" name="Line 13">
          <a:extLst>
            <a:ext uri="{FF2B5EF4-FFF2-40B4-BE49-F238E27FC236}">
              <a16:creationId xmlns:a16="http://schemas.microsoft.com/office/drawing/2014/main" id="{A018AEA2-4F2D-4683-9793-00469DA2E8F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8" name="Line 14">
          <a:extLst>
            <a:ext uri="{FF2B5EF4-FFF2-40B4-BE49-F238E27FC236}">
              <a16:creationId xmlns:a16="http://schemas.microsoft.com/office/drawing/2014/main" id="{E1C7AD39-7009-4C34-A5E9-06B9857B260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59" name="Line 2">
          <a:extLst>
            <a:ext uri="{FF2B5EF4-FFF2-40B4-BE49-F238E27FC236}">
              <a16:creationId xmlns:a16="http://schemas.microsoft.com/office/drawing/2014/main" id="{09A8B747-1CE5-4147-947A-05C8C90271D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0" name="Line 3">
          <a:extLst>
            <a:ext uri="{FF2B5EF4-FFF2-40B4-BE49-F238E27FC236}">
              <a16:creationId xmlns:a16="http://schemas.microsoft.com/office/drawing/2014/main" id="{301626E4-E255-484E-97C0-705669009AF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1" name="Line 4">
          <a:extLst>
            <a:ext uri="{FF2B5EF4-FFF2-40B4-BE49-F238E27FC236}">
              <a16:creationId xmlns:a16="http://schemas.microsoft.com/office/drawing/2014/main" id="{01B276AE-4E40-49E2-B5D3-2A91711BD39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2" name="Line 5">
          <a:extLst>
            <a:ext uri="{FF2B5EF4-FFF2-40B4-BE49-F238E27FC236}">
              <a16:creationId xmlns:a16="http://schemas.microsoft.com/office/drawing/2014/main" id="{D5C4A170-4538-4BA6-B59C-035C51F8265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3" name="Line 2">
          <a:extLst>
            <a:ext uri="{FF2B5EF4-FFF2-40B4-BE49-F238E27FC236}">
              <a16:creationId xmlns:a16="http://schemas.microsoft.com/office/drawing/2014/main" id="{7AD1A2B6-4732-4079-9BAA-2700631FF18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4" name="Line 3">
          <a:extLst>
            <a:ext uri="{FF2B5EF4-FFF2-40B4-BE49-F238E27FC236}">
              <a16:creationId xmlns:a16="http://schemas.microsoft.com/office/drawing/2014/main" id="{05B47E95-AA5A-47B8-BE21-3D9BBD7C1E3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5" name="Line 4">
          <a:extLst>
            <a:ext uri="{FF2B5EF4-FFF2-40B4-BE49-F238E27FC236}">
              <a16:creationId xmlns:a16="http://schemas.microsoft.com/office/drawing/2014/main" id="{4B6A3B93-AAEE-4DB3-84D5-2F6F35BDC11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6" name="Line 5">
          <a:extLst>
            <a:ext uri="{FF2B5EF4-FFF2-40B4-BE49-F238E27FC236}">
              <a16:creationId xmlns:a16="http://schemas.microsoft.com/office/drawing/2014/main" id="{338BEC44-2FB9-4F1E-8176-D7395392874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7" name="Line 2">
          <a:extLst>
            <a:ext uri="{FF2B5EF4-FFF2-40B4-BE49-F238E27FC236}">
              <a16:creationId xmlns:a16="http://schemas.microsoft.com/office/drawing/2014/main" id="{CFC88631-4B79-4DE7-BDC7-59DA7A929F1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8" name="Line 3">
          <a:extLst>
            <a:ext uri="{FF2B5EF4-FFF2-40B4-BE49-F238E27FC236}">
              <a16:creationId xmlns:a16="http://schemas.microsoft.com/office/drawing/2014/main" id="{3AFD8A89-BA88-41AB-A511-7EB9F27A8C6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69" name="Line 4">
          <a:extLst>
            <a:ext uri="{FF2B5EF4-FFF2-40B4-BE49-F238E27FC236}">
              <a16:creationId xmlns:a16="http://schemas.microsoft.com/office/drawing/2014/main" id="{7DA5E56E-02CD-4D35-BA03-D6919A4C587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0" name="Line 1">
          <a:extLst>
            <a:ext uri="{FF2B5EF4-FFF2-40B4-BE49-F238E27FC236}">
              <a16:creationId xmlns:a16="http://schemas.microsoft.com/office/drawing/2014/main" id="{E62740D2-6504-43D0-9454-ABA929ABCF4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1" name="Line 2">
          <a:extLst>
            <a:ext uri="{FF2B5EF4-FFF2-40B4-BE49-F238E27FC236}">
              <a16:creationId xmlns:a16="http://schemas.microsoft.com/office/drawing/2014/main" id="{C66AADB4-A5D1-45FE-B8E7-71F446045E0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2" name="Line 9">
          <a:extLst>
            <a:ext uri="{FF2B5EF4-FFF2-40B4-BE49-F238E27FC236}">
              <a16:creationId xmlns:a16="http://schemas.microsoft.com/office/drawing/2014/main" id="{D0E38556-1B54-43FB-92BC-C9549021911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3" name="Line 10">
          <a:extLst>
            <a:ext uri="{FF2B5EF4-FFF2-40B4-BE49-F238E27FC236}">
              <a16:creationId xmlns:a16="http://schemas.microsoft.com/office/drawing/2014/main" id="{C6B084E7-3644-466D-875C-E6862E9863E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4" name="Line 11">
          <a:extLst>
            <a:ext uri="{FF2B5EF4-FFF2-40B4-BE49-F238E27FC236}">
              <a16:creationId xmlns:a16="http://schemas.microsoft.com/office/drawing/2014/main" id="{549E7D17-05DE-441F-AF98-1A39009CF38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5" name="Line 12">
          <a:extLst>
            <a:ext uri="{FF2B5EF4-FFF2-40B4-BE49-F238E27FC236}">
              <a16:creationId xmlns:a16="http://schemas.microsoft.com/office/drawing/2014/main" id="{B26C5E64-DBAA-4F56-A12A-BE5A4EE7738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6" name="Line 13">
          <a:extLst>
            <a:ext uri="{FF2B5EF4-FFF2-40B4-BE49-F238E27FC236}">
              <a16:creationId xmlns:a16="http://schemas.microsoft.com/office/drawing/2014/main" id="{0FA78456-EECF-405F-A912-2FBD6369833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28</xdr:row>
      <xdr:rowOff>85725</xdr:rowOff>
    </xdr:from>
    <xdr:to>
      <xdr:col>1</xdr:col>
      <xdr:colOff>581025</xdr:colOff>
      <xdr:row>28</xdr:row>
      <xdr:rowOff>85725</xdr:rowOff>
    </xdr:to>
    <xdr:sp macro="" textlink="">
      <xdr:nvSpPr>
        <xdr:cNvPr id="77" name="Line 14">
          <a:extLst>
            <a:ext uri="{FF2B5EF4-FFF2-40B4-BE49-F238E27FC236}">
              <a16:creationId xmlns:a16="http://schemas.microsoft.com/office/drawing/2014/main" id="{CD644C6D-9DF5-461E-AEE0-3C6CEFDF5B0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1">
          <a:extLst>
            <a:ext uri="{FF2B5EF4-FFF2-40B4-BE49-F238E27FC236}">
              <a16:creationId xmlns:a16="http://schemas.microsoft.com/office/drawing/2014/main" id="{670647CA-1DC1-415A-A773-33AE3BB768A2}"/>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2">
          <a:extLst>
            <a:ext uri="{FF2B5EF4-FFF2-40B4-BE49-F238E27FC236}">
              <a16:creationId xmlns:a16="http://schemas.microsoft.com/office/drawing/2014/main" id="{01D071B8-7E01-40A3-ADF3-12605EA076B5}"/>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3">
          <a:extLst>
            <a:ext uri="{FF2B5EF4-FFF2-40B4-BE49-F238E27FC236}">
              <a16:creationId xmlns:a16="http://schemas.microsoft.com/office/drawing/2014/main" id="{F5D099E1-F59A-4D02-9B64-BCAC24BC434F}"/>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4">
          <a:extLst>
            <a:ext uri="{FF2B5EF4-FFF2-40B4-BE49-F238E27FC236}">
              <a16:creationId xmlns:a16="http://schemas.microsoft.com/office/drawing/2014/main" id="{4BAA00E1-4F27-46F3-B5FC-7665B7C7AAFF}"/>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1">
          <a:extLst>
            <a:ext uri="{FF2B5EF4-FFF2-40B4-BE49-F238E27FC236}">
              <a16:creationId xmlns:a16="http://schemas.microsoft.com/office/drawing/2014/main" id="{F8788011-3616-40E3-B397-1AB77C4C2040}"/>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2">
          <a:extLst>
            <a:ext uri="{FF2B5EF4-FFF2-40B4-BE49-F238E27FC236}">
              <a16:creationId xmlns:a16="http://schemas.microsoft.com/office/drawing/2014/main" id="{1B46DEFD-FBA7-476D-89C3-F81AA8E300F3}"/>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3">
          <a:extLst>
            <a:ext uri="{FF2B5EF4-FFF2-40B4-BE49-F238E27FC236}">
              <a16:creationId xmlns:a16="http://schemas.microsoft.com/office/drawing/2014/main" id="{7AD0A9DD-D1CA-4D2A-BD94-BB6F61958558}"/>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9" name="Line 4">
          <a:extLst>
            <a:ext uri="{FF2B5EF4-FFF2-40B4-BE49-F238E27FC236}">
              <a16:creationId xmlns:a16="http://schemas.microsoft.com/office/drawing/2014/main" id="{E30DDF2F-C963-41BE-A188-90F0B5B80864}"/>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0" name="Line 1">
          <a:extLst>
            <a:ext uri="{FF2B5EF4-FFF2-40B4-BE49-F238E27FC236}">
              <a16:creationId xmlns:a16="http://schemas.microsoft.com/office/drawing/2014/main" id="{CABA645D-81AA-4E24-83A7-A5908D3CDBB7}"/>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1" name="Line 2">
          <a:extLst>
            <a:ext uri="{FF2B5EF4-FFF2-40B4-BE49-F238E27FC236}">
              <a16:creationId xmlns:a16="http://schemas.microsoft.com/office/drawing/2014/main" id="{D5548804-AF7B-401A-AB63-F747883C5EB5}"/>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2" name="Line 3">
          <a:extLst>
            <a:ext uri="{FF2B5EF4-FFF2-40B4-BE49-F238E27FC236}">
              <a16:creationId xmlns:a16="http://schemas.microsoft.com/office/drawing/2014/main" id="{6BD3F573-2860-428B-B47B-13F855021B4F}"/>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3" name="Line 4">
          <a:extLst>
            <a:ext uri="{FF2B5EF4-FFF2-40B4-BE49-F238E27FC236}">
              <a16:creationId xmlns:a16="http://schemas.microsoft.com/office/drawing/2014/main" id="{91DAEE14-3F93-41E5-8149-258E9517D9C5}"/>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4" name="Line 1">
          <a:extLst>
            <a:ext uri="{FF2B5EF4-FFF2-40B4-BE49-F238E27FC236}">
              <a16:creationId xmlns:a16="http://schemas.microsoft.com/office/drawing/2014/main" id="{56BBF6A5-925D-4919-8559-4CA526787E66}"/>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5" name="Line 2">
          <a:extLst>
            <a:ext uri="{FF2B5EF4-FFF2-40B4-BE49-F238E27FC236}">
              <a16:creationId xmlns:a16="http://schemas.microsoft.com/office/drawing/2014/main" id="{FE3E5478-B918-4A3D-8727-750DA863663E}"/>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6" name="Line 3">
          <a:extLst>
            <a:ext uri="{FF2B5EF4-FFF2-40B4-BE49-F238E27FC236}">
              <a16:creationId xmlns:a16="http://schemas.microsoft.com/office/drawing/2014/main" id="{4CAB09F1-C678-4C70-8B66-EDEF6CEECBD6}"/>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7" name="Line 4">
          <a:extLst>
            <a:ext uri="{FF2B5EF4-FFF2-40B4-BE49-F238E27FC236}">
              <a16:creationId xmlns:a16="http://schemas.microsoft.com/office/drawing/2014/main" id="{0840568B-A9F8-4D61-A410-1EFDF10A8DCF}"/>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8" name="Line 1">
          <a:extLst>
            <a:ext uri="{FF2B5EF4-FFF2-40B4-BE49-F238E27FC236}">
              <a16:creationId xmlns:a16="http://schemas.microsoft.com/office/drawing/2014/main" id="{FEC17039-AD27-48F4-A1BA-DB8AC8FF0431}"/>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9" name="Line 2">
          <a:extLst>
            <a:ext uri="{FF2B5EF4-FFF2-40B4-BE49-F238E27FC236}">
              <a16:creationId xmlns:a16="http://schemas.microsoft.com/office/drawing/2014/main" id="{22F93A61-365A-452C-9D91-A9A34C508D08}"/>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0" name="Line 3">
          <a:extLst>
            <a:ext uri="{FF2B5EF4-FFF2-40B4-BE49-F238E27FC236}">
              <a16:creationId xmlns:a16="http://schemas.microsoft.com/office/drawing/2014/main" id="{89C796A1-C74A-49A8-95A2-97967D691A0E}"/>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1" name="Line 4">
          <a:extLst>
            <a:ext uri="{FF2B5EF4-FFF2-40B4-BE49-F238E27FC236}">
              <a16:creationId xmlns:a16="http://schemas.microsoft.com/office/drawing/2014/main" id="{05B25307-8C62-4CC4-8C6E-9B9632F33B4B}"/>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2" name="Line 1">
          <a:extLst>
            <a:ext uri="{FF2B5EF4-FFF2-40B4-BE49-F238E27FC236}">
              <a16:creationId xmlns:a16="http://schemas.microsoft.com/office/drawing/2014/main" id="{F03A57D2-554E-4EA8-97C7-D22E671FB41B}"/>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3" name="Line 2">
          <a:extLst>
            <a:ext uri="{FF2B5EF4-FFF2-40B4-BE49-F238E27FC236}">
              <a16:creationId xmlns:a16="http://schemas.microsoft.com/office/drawing/2014/main" id="{AFEED353-E417-43E9-9000-F03EC4F27AE2}"/>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4" name="Line 3">
          <a:extLst>
            <a:ext uri="{FF2B5EF4-FFF2-40B4-BE49-F238E27FC236}">
              <a16:creationId xmlns:a16="http://schemas.microsoft.com/office/drawing/2014/main" id="{A204E9B1-609A-464A-B2AA-725387A02D79}"/>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5" name="Line 4">
          <a:extLst>
            <a:ext uri="{FF2B5EF4-FFF2-40B4-BE49-F238E27FC236}">
              <a16:creationId xmlns:a16="http://schemas.microsoft.com/office/drawing/2014/main" id="{D2257AE1-ADF2-4F65-9B10-5702107A6AB3}"/>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26" name="Line 2">
          <a:extLst>
            <a:ext uri="{FF2B5EF4-FFF2-40B4-BE49-F238E27FC236}">
              <a16:creationId xmlns:a16="http://schemas.microsoft.com/office/drawing/2014/main" id="{643570BF-EDD8-4670-936E-3FBE1DD89DF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27" name="Line 3">
          <a:extLst>
            <a:ext uri="{FF2B5EF4-FFF2-40B4-BE49-F238E27FC236}">
              <a16:creationId xmlns:a16="http://schemas.microsoft.com/office/drawing/2014/main" id="{C687A3A4-23BD-49F1-AC08-ED70E8106E8F}"/>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28" name="Line 4">
          <a:extLst>
            <a:ext uri="{FF2B5EF4-FFF2-40B4-BE49-F238E27FC236}">
              <a16:creationId xmlns:a16="http://schemas.microsoft.com/office/drawing/2014/main" id="{14DF686A-8A90-4CC2-8AF8-F2D2FF237C7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29" name="Line 5">
          <a:extLst>
            <a:ext uri="{FF2B5EF4-FFF2-40B4-BE49-F238E27FC236}">
              <a16:creationId xmlns:a16="http://schemas.microsoft.com/office/drawing/2014/main" id="{973C8ABA-1E4F-4016-9EC7-47E23728A8A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0" name="Line 2">
          <a:extLst>
            <a:ext uri="{FF2B5EF4-FFF2-40B4-BE49-F238E27FC236}">
              <a16:creationId xmlns:a16="http://schemas.microsoft.com/office/drawing/2014/main" id="{616C3C2C-F8A7-480D-B131-70B24AE83E9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1" name="Line 3">
          <a:extLst>
            <a:ext uri="{FF2B5EF4-FFF2-40B4-BE49-F238E27FC236}">
              <a16:creationId xmlns:a16="http://schemas.microsoft.com/office/drawing/2014/main" id="{D0941D12-6FE3-4ED4-864F-8063E731E00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2" name="Line 4">
          <a:extLst>
            <a:ext uri="{FF2B5EF4-FFF2-40B4-BE49-F238E27FC236}">
              <a16:creationId xmlns:a16="http://schemas.microsoft.com/office/drawing/2014/main" id="{835116C6-1FFF-42C8-AE55-94B842113339}"/>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3" name="Line 5">
          <a:extLst>
            <a:ext uri="{FF2B5EF4-FFF2-40B4-BE49-F238E27FC236}">
              <a16:creationId xmlns:a16="http://schemas.microsoft.com/office/drawing/2014/main" id="{DB6C4C49-D45A-438B-B817-C63F8017EA8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4" name="Line 2">
          <a:extLst>
            <a:ext uri="{FF2B5EF4-FFF2-40B4-BE49-F238E27FC236}">
              <a16:creationId xmlns:a16="http://schemas.microsoft.com/office/drawing/2014/main" id="{4DA5E763-5471-4887-B494-5B772DFD8D1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5" name="Line 3">
          <a:extLst>
            <a:ext uri="{FF2B5EF4-FFF2-40B4-BE49-F238E27FC236}">
              <a16:creationId xmlns:a16="http://schemas.microsoft.com/office/drawing/2014/main" id="{112554C5-7E7A-4841-B959-FCDC8274605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6" name="Line 4">
          <a:extLst>
            <a:ext uri="{FF2B5EF4-FFF2-40B4-BE49-F238E27FC236}">
              <a16:creationId xmlns:a16="http://schemas.microsoft.com/office/drawing/2014/main" id="{39745F2E-C710-410E-977D-6C2D5F6F5143}"/>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7" name="Line 1">
          <a:extLst>
            <a:ext uri="{FF2B5EF4-FFF2-40B4-BE49-F238E27FC236}">
              <a16:creationId xmlns:a16="http://schemas.microsoft.com/office/drawing/2014/main" id="{EB895470-111A-4E13-84B7-DFC32DAE4015}"/>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8" name="Line 2">
          <a:extLst>
            <a:ext uri="{FF2B5EF4-FFF2-40B4-BE49-F238E27FC236}">
              <a16:creationId xmlns:a16="http://schemas.microsoft.com/office/drawing/2014/main" id="{416E01EB-690B-4A01-8D42-3478A33B807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39" name="Line 9">
          <a:extLst>
            <a:ext uri="{FF2B5EF4-FFF2-40B4-BE49-F238E27FC236}">
              <a16:creationId xmlns:a16="http://schemas.microsoft.com/office/drawing/2014/main" id="{41D850EA-5C4C-4A2E-8337-DE5AC5031EB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40" name="Line 10">
          <a:extLst>
            <a:ext uri="{FF2B5EF4-FFF2-40B4-BE49-F238E27FC236}">
              <a16:creationId xmlns:a16="http://schemas.microsoft.com/office/drawing/2014/main" id="{F2F3C583-78E1-49CD-BE7A-6F1FEE6C1F9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41" name="Line 11">
          <a:extLst>
            <a:ext uri="{FF2B5EF4-FFF2-40B4-BE49-F238E27FC236}">
              <a16:creationId xmlns:a16="http://schemas.microsoft.com/office/drawing/2014/main" id="{AF9E4ADB-4CA6-447A-BB53-EEC346308E1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42" name="Line 12">
          <a:extLst>
            <a:ext uri="{FF2B5EF4-FFF2-40B4-BE49-F238E27FC236}">
              <a16:creationId xmlns:a16="http://schemas.microsoft.com/office/drawing/2014/main" id="{B4C95AC3-8A43-4B1A-9047-3381E146512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43" name="Line 13">
          <a:extLst>
            <a:ext uri="{FF2B5EF4-FFF2-40B4-BE49-F238E27FC236}">
              <a16:creationId xmlns:a16="http://schemas.microsoft.com/office/drawing/2014/main" id="{259DAFDA-DCCF-4B69-A03F-77EDA6923C3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4</xdr:row>
      <xdr:rowOff>85725</xdr:rowOff>
    </xdr:from>
    <xdr:to>
      <xdr:col>1</xdr:col>
      <xdr:colOff>581025</xdr:colOff>
      <xdr:row>4</xdr:row>
      <xdr:rowOff>85725</xdr:rowOff>
    </xdr:to>
    <xdr:sp macro="" textlink="">
      <xdr:nvSpPr>
        <xdr:cNvPr id="44" name="Line 14">
          <a:extLst>
            <a:ext uri="{FF2B5EF4-FFF2-40B4-BE49-F238E27FC236}">
              <a16:creationId xmlns:a16="http://schemas.microsoft.com/office/drawing/2014/main" id="{00D0CA7D-C8E3-4F7D-A747-FC28FB976088}"/>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581025</xdr:colOff>
      <xdr:row>3</xdr:row>
      <xdr:rowOff>85725</xdr:rowOff>
    </xdr:from>
    <xdr:to>
      <xdr:col>1</xdr:col>
      <xdr:colOff>581025</xdr:colOff>
      <xdr:row>3</xdr:row>
      <xdr:rowOff>85725</xdr:rowOff>
    </xdr:to>
    <xdr:sp macro="" textlink="">
      <xdr:nvSpPr>
        <xdr:cNvPr id="21" name="Line 2">
          <a:extLst>
            <a:ext uri="{FF2B5EF4-FFF2-40B4-BE49-F238E27FC236}">
              <a16:creationId xmlns:a16="http://schemas.microsoft.com/office/drawing/2014/main" id="{E342AA9E-1689-4801-BB1F-BD037E8647E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2" name="Line 3">
          <a:extLst>
            <a:ext uri="{FF2B5EF4-FFF2-40B4-BE49-F238E27FC236}">
              <a16:creationId xmlns:a16="http://schemas.microsoft.com/office/drawing/2014/main" id="{B34789A6-41B2-42AA-A025-2221742A386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3" name="Line 4">
          <a:extLst>
            <a:ext uri="{FF2B5EF4-FFF2-40B4-BE49-F238E27FC236}">
              <a16:creationId xmlns:a16="http://schemas.microsoft.com/office/drawing/2014/main" id="{950298B3-2F51-497E-92CA-F706D8BE12D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4" name="Line 5">
          <a:extLst>
            <a:ext uri="{FF2B5EF4-FFF2-40B4-BE49-F238E27FC236}">
              <a16:creationId xmlns:a16="http://schemas.microsoft.com/office/drawing/2014/main" id="{8AD556D3-CA5B-457C-B8D6-A4BD3F229E8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5" name="Line 2">
          <a:extLst>
            <a:ext uri="{FF2B5EF4-FFF2-40B4-BE49-F238E27FC236}">
              <a16:creationId xmlns:a16="http://schemas.microsoft.com/office/drawing/2014/main" id="{EDDA2999-02D5-44AF-AD65-7ED2AD3B0E7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6" name="Line 3">
          <a:extLst>
            <a:ext uri="{FF2B5EF4-FFF2-40B4-BE49-F238E27FC236}">
              <a16:creationId xmlns:a16="http://schemas.microsoft.com/office/drawing/2014/main" id="{A1356708-A849-4E18-B334-B2B1DB5A743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7" name="Line 4">
          <a:extLst>
            <a:ext uri="{FF2B5EF4-FFF2-40B4-BE49-F238E27FC236}">
              <a16:creationId xmlns:a16="http://schemas.microsoft.com/office/drawing/2014/main" id="{404222CA-6789-464D-AFCD-666B2110CE4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8" name="Line 5">
          <a:extLst>
            <a:ext uri="{FF2B5EF4-FFF2-40B4-BE49-F238E27FC236}">
              <a16:creationId xmlns:a16="http://schemas.microsoft.com/office/drawing/2014/main" id="{86110097-869A-4D03-B540-F37BBD9969A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9" name="Line 2">
          <a:extLst>
            <a:ext uri="{FF2B5EF4-FFF2-40B4-BE49-F238E27FC236}">
              <a16:creationId xmlns:a16="http://schemas.microsoft.com/office/drawing/2014/main" id="{8C9D4057-6669-4131-92E1-9880E24AA690}"/>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0" name="Line 3">
          <a:extLst>
            <a:ext uri="{FF2B5EF4-FFF2-40B4-BE49-F238E27FC236}">
              <a16:creationId xmlns:a16="http://schemas.microsoft.com/office/drawing/2014/main" id="{4838EFA9-4272-4B95-8362-F2E36A78517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1" name="Line 4">
          <a:extLst>
            <a:ext uri="{FF2B5EF4-FFF2-40B4-BE49-F238E27FC236}">
              <a16:creationId xmlns:a16="http://schemas.microsoft.com/office/drawing/2014/main" id="{1F2044E4-ACCE-4AA9-8074-B1CBDCC00FE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2" name="Line 1">
          <a:extLst>
            <a:ext uri="{FF2B5EF4-FFF2-40B4-BE49-F238E27FC236}">
              <a16:creationId xmlns:a16="http://schemas.microsoft.com/office/drawing/2014/main" id="{5D3EB57D-A944-422D-9031-B57E43B40CA1}"/>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3" name="Line 2">
          <a:extLst>
            <a:ext uri="{FF2B5EF4-FFF2-40B4-BE49-F238E27FC236}">
              <a16:creationId xmlns:a16="http://schemas.microsoft.com/office/drawing/2014/main" id="{549FD473-BD0D-4F20-A301-CD0F299569E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4" name="Line 9">
          <a:extLst>
            <a:ext uri="{FF2B5EF4-FFF2-40B4-BE49-F238E27FC236}">
              <a16:creationId xmlns:a16="http://schemas.microsoft.com/office/drawing/2014/main" id="{0F11534B-373A-4FCC-B00D-4B3EEC7055E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5" name="Line 10">
          <a:extLst>
            <a:ext uri="{FF2B5EF4-FFF2-40B4-BE49-F238E27FC236}">
              <a16:creationId xmlns:a16="http://schemas.microsoft.com/office/drawing/2014/main" id="{362D5DBF-A330-4BB3-B9B9-0D2ED66EDC39}"/>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6" name="Line 11">
          <a:extLst>
            <a:ext uri="{FF2B5EF4-FFF2-40B4-BE49-F238E27FC236}">
              <a16:creationId xmlns:a16="http://schemas.microsoft.com/office/drawing/2014/main" id="{EB48CDD0-1D3A-41DD-81C3-2DC7807FB70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7" name="Line 12">
          <a:extLst>
            <a:ext uri="{FF2B5EF4-FFF2-40B4-BE49-F238E27FC236}">
              <a16:creationId xmlns:a16="http://schemas.microsoft.com/office/drawing/2014/main" id="{F50A6F2F-B218-4C5D-AF2F-A30AFF19337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8" name="Line 13">
          <a:extLst>
            <a:ext uri="{FF2B5EF4-FFF2-40B4-BE49-F238E27FC236}">
              <a16:creationId xmlns:a16="http://schemas.microsoft.com/office/drawing/2014/main" id="{EECEB462-122C-486D-B7EA-D4CA61D6A26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9" name="Line 14">
          <a:extLst>
            <a:ext uri="{FF2B5EF4-FFF2-40B4-BE49-F238E27FC236}">
              <a16:creationId xmlns:a16="http://schemas.microsoft.com/office/drawing/2014/main" id="{0A5611D1-E43F-41E9-8FBF-E08A48C311FE}"/>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0" name="Line 2">
          <a:extLst>
            <a:ext uri="{FF2B5EF4-FFF2-40B4-BE49-F238E27FC236}">
              <a16:creationId xmlns:a16="http://schemas.microsoft.com/office/drawing/2014/main" id="{C3A2FDDD-FECD-4A82-83C1-283989F8CF8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1" name="Line 3">
          <a:extLst>
            <a:ext uri="{FF2B5EF4-FFF2-40B4-BE49-F238E27FC236}">
              <a16:creationId xmlns:a16="http://schemas.microsoft.com/office/drawing/2014/main" id="{5E588C0A-0B25-4DD7-BF02-BB402E3652B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2" name="Line 4">
          <a:extLst>
            <a:ext uri="{FF2B5EF4-FFF2-40B4-BE49-F238E27FC236}">
              <a16:creationId xmlns:a16="http://schemas.microsoft.com/office/drawing/2014/main" id="{91F36D54-F60E-4253-8FCB-9C5C8FD0C8E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3" name="Line 5">
          <a:extLst>
            <a:ext uri="{FF2B5EF4-FFF2-40B4-BE49-F238E27FC236}">
              <a16:creationId xmlns:a16="http://schemas.microsoft.com/office/drawing/2014/main" id="{A6BC7E39-B578-4A16-BE3B-7A52A4AC083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4" name="Line 2">
          <a:extLst>
            <a:ext uri="{FF2B5EF4-FFF2-40B4-BE49-F238E27FC236}">
              <a16:creationId xmlns:a16="http://schemas.microsoft.com/office/drawing/2014/main" id="{F40007CD-3B95-4B35-B957-7865904BBA9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5" name="Line 3">
          <a:extLst>
            <a:ext uri="{FF2B5EF4-FFF2-40B4-BE49-F238E27FC236}">
              <a16:creationId xmlns:a16="http://schemas.microsoft.com/office/drawing/2014/main" id="{5ABED0CE-2035-4CCA-B928-2F8DF01C47C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6" name="Line 4">
          <a:extLst>
            <a:ext uri="{FF2B5EF4-FFF2-40B4-BE49-F238E27FC236}">
              <a16:creationId xmlns:a16="http://schemas.microsoft.com/office/drawing/2014/main" id="{209AA4D0-E1C8-476C-AD65-A3AB16AC934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7" name="Line 5">
          <a:extLst>
            <a:ext uri="{FF2B5EF4-FFF2-40B4-BE49-F238E27FC236}">
              <a16:creationId xmlns:a16="http://schemas.microsoft.com/office/drawing/2014/main" id="{E732DA86-6E64-42B2-B55E-2150205475F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8" name="Line 2">
          <a:extLst>
            <a:ext uri="{FF2B5EF4-FFF2-40B4-BE49-F238E27FC236}">
              <a16:creationId xmlns:a16="http://schemas.microsoft.com/office/drawing/2014/main" id="{0650147D-063A-4E43-872A-D1621B19C5C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49" name="Line 3">
          <a:extLst>
            <a:ext uri="{FF2B5EF4-FFF2-40B4-BE49-F238E27FC236}">
              <a16:creationId xmlns:a16="http://schemas.microsoft.com/office/drawing/2014/main" id="{EBF707FA-C241-42E3-B688-0986BAD4813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0" name="Line 4">
          <a:extLst>
            <a:ext uri="{FF2B5EF4-FFF2-40B4-BE49-F238E27FC236}">
              <a16:creationId xmlns:a16="http://schemas.microsoft.com/office/drawing/2014/main" id="{88A98F68-3512-4E92-9003-D1DA1402F92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1" name="Line 1">
          <a:extLst>
            <a:ext uri="{FF2B5EF4-FFF2-40B4-BE49-F238E27FC236}">
              <a16:creationId xmlns:a16="http://schemas.microsoft.com/office/drawing/2014/main" id="{F91DBFB8-4605-47C0-AE3B-CEAD1E3B8B5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2" name="Line 2">
          <a:extLst>
            <a:ext uri="{FF2B5EF4-FFF2-40B4-BE49-F238E27FC236}">
              <a16:creationId xmlns:a16="http://schemas.microsoft.com/office/drawing/2014/main" id="{B1E5EE68-23B9-4DA7-9539-4E1CDB15D59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3" name="Line 9">
          <a:extLst>
            <a:ext uri="{FF2B5EF4-FFF2-40B4-BE49-F238E27FC236}">
              <a16:creationId xmlns:a16="http://schemas.microsoft.com/office/drawing/2014/main" id="{8B827516-C209-4D1B-92BE-BE30F2F2828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4" name="Line 10">
          <a:extLst>
            <a:ext uri="{FF2B5EF4-FFF2-40B4-BE49-F238E27FC236}">
              <a16:creationId xmlns:a16="http://schemas.microsoft.com/office/drawing/2014/main" id="{4AFDB135-5D56-4E50-9DF5-5225E0CF459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5" name="Line 11">
          <a:extLst>
            <a:ext uri="{FF2B5EF4-FFF2-40B4-BE49-F238E27FC236}">
              <a16:creationId xmlns:a16="http://schemas.microsoft.com/office/drawing/2014/main" id="{7816195E-E52D-4CC1-A7D1-3124B1B9613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6" name="Line 12">
          <a:extLst>
            <a:ext uri="{FF2B5EF4-FFF2-40B4-BE49-F238E27FC236}">
              <a16:creationId xmlns:a16="http://schemas.microsoft.com/office/drawing/2014/main" id="{83768E88-E760-45C0-AA04-499D17BBD00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7" name="Line 13">
          <a:extLst>
            <a:ext uri="{FF2B5EF4-FFF2-40B4-BE49-F238E27FC236}">
              <a16:creationId xmlns:a16="http://schemas.microsoft.com/office/drawing/2014/main" id="{0DF3AD42-D619-4E3C-B2C8-08BB6B56977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20</xdr:row>
      <xdr:rowOff>85725</xdr:rowOff>
    </xdr:from>
    <xdr:to>
      <xdr:col>1</xdr:col>
      <xdr:colOff>581025</xdr:colOff>
      <xdr:row>20</xdr:row>
      <xdr:rowOff>85725</xdr:rowOff>
    </xdr:to>
    <xdr:sp macro="" textlink="">
      <xdr:nvSpPr>
        <xdr:cNvPr id="58" name="Line 14">
          <a:extLst>
            <a:ext uri="{FF2B5EF4-FFF2-40B4-BE49-F238E27FC236}">
              <a16:creationId xmlns:a16="http://schemas.microsoft.com/office/drawing/2014/main" id="{4FBA5654-ADB6-46F5-8679-9EAF62DE162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2">
          <a:extLst>
            <a:ext uri="{FF2B5EF4-FFF2-40B4-BE49-F238E27FC236}">
              <a16:creationId xmlns:a16="http://schemas.microsoft.com/office/drawing/2014/main" id="{E9A673ED-C648-4DCF-8525-5A509685176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3">
          <a:extLst>
            <a:ext uri="{FF2B5EF4-FFF2-40B4-BE49-F238E27FC236}">
              <a16:creationId xmlns:a16="http://schemas.microsoft.com/office/drawing/2014/main" id="{197CC1F2-0ADE-40D2-9E58-5961E6BA346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4">
          <a:extLst>
            <a:ext uri="{FF2B5EF4-FFF2-40B4-BE49-F238E27FC236}">
              <a16:creationId xmlns:a16="http://schemas.microsoft.com/office/drawing/2014/main" id="{6BCD287A-D4BF-49E5-8120-7EBA0810D4C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5">
          <a:extLst>
            <a:ext uri="{FF2B5EF4-FFF2-40B4-BE49-F238E27FC236}">
              <a16:creationId xmlns:a16="http://schemas.microsoft.com/office/drawing/2014/main" id="{68ABFA23-CEB3-4DAA-99AF-065358141FB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2">
          <a:extLst>
            <a:ext uri="{FF2B5EF4-FFF2-40B4-BE49-F238E27FC236}">
              <a16:creationId xmlns:a16="http://schemas.microsoft.com/office/drawing/2014/main" id="{59070146-DFA9-4E70-9C81-E2EC6D90CF1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3">
          <a:extLst>
            <a:ext uri="{FF2B5EF4-FFF2-40B4-BE49-F238E27FC236}">
              <a16:creationId xmlns:a16="http://schemas.microsoft.com/office/drawing/2014/main" id="{A4DF5AE3-B0A0-42F5-ACCF-BDC812D14CD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4">
          <a:extLst>
            <a:ext uri="{FF2B5EF4-FFF2-40B4-BE49-F238E27FC236}">
              <a16:creationId xmlns:a16="http://schemas.microsoft.com/office/drawing/2014/main" id="{1E9F4233-BAE4-480C-83A8-6B07D044F07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9" name="Line 5">
          <a:extLst>
            <a:ext uri="{FF2B5EF4-FFF2-40B4-BE49-F238E27FC236}">
              <a16:creationId xmlns:a16="http://schemas.microsoft.com/office/drawing/2014/main" id="{DC5BFB9F-2661-4DC8-B1C3-784DCE45A254}"/>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0" name="Line 2">
          <a:extLst>
            <a:ext uri="{FF2B5EF4-FFF2-40B4-BE49-F238E27FC236}">
              <a16:creationId xmlns:a16="http://schemas.microsoft.com/office/drawing/2014/main" id="{2F3C925D-6668-490C-9550-BEFF20083FE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1" name="Line 3">
          <a:extLst>
            <a:ext uri="{FF2B5EF4-FFF2-40B4-BE49-F238E27FC236}">
              <a16:creationId xmlns:a16="http://schemas.microsoft.com/office/drawing/2014/main" id="{0147B0D5-078D-4788-AB23-D634EBA46FC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2" name="Line 4">
          <a:extLst>
            <a:ext uri="{FF2B5EF4-FFF2-40B4-BE49-F238E27FC236}">
              <a16:creationId xmlns:a16="http://schemas.microsoft.com/office/drawing/2014/main" id="{9D89FDEC-86C1-4F14-91E7-EC9C3A36350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3" name="Line 1">
          <a:extLst>
            <a:ext uri="{FF2B5EF4-FFF2-40B4-BE49-F238E27FC236}">
              <a16:creationId xmlns:a16="http://schemas.microsoft.com/office/drawing/2014/main" id="{FC453A0A-17C4-4EB1-96C5-261C9CA709F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4" name="Line 2">
          <a:extLst>
            <a:ext uri="{FF2B5EF4-FFF2-40B4-BE49-F238E27FC236}">
              <a16:creationId xmlns:a16="http://schemas.microsoft.com/office/drawing/2014/main" id="{941C00E3-1D56-4A1B-8EEE-75C610BE934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5" name="Line 9">
          <a:extLst>
            <a:ext uri="{FF2B5EF4-FFF2-40B4-BE49-F238E27FC236}">
              <a16:creationId xmlns:a16="http://schemas.microsoft.com/office/drawing/2014/main" id="{7BDCD97F-27F7-4EA8-83F4-0C22A4889F70}"/>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6" name="Line 10">
          <a:extLst>
            <a:ext uri="{FF2B5EF4-FFF2-40B4-BE49-F238E27FC236}">
              <a16:creationId xmlns:a16="http://schemas.microsoft.com/office/drawing/2014/main" id="{91013655-5BF0-4CD3-B5CA-8FAF251B56D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7" name="Line 11">
          <a:extLst>
            <a:ext uri="{FF2B5EF4-FFF2-40B4-BE49-F238E27FC236}">
              <a16:creationId xmlns:a16="http://schemas.microsoft.com/office/drawing/2014/main" id="{B7C2312B-4D2B-4444-A0D8-4AE6EE9110E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8" name="Line 12">
          <a:extLst>
            <a:ext uri="{FF2B5EF4-FFF2-40B4-BE49-F238E27FC236}">
              <a16:creationId xmlns:a16="http://schemas.microsoft.com/office/drawing/2014/main" id="{259BBA4C-FCA0-41B4-9F8A-CDAC5BDE30A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9" name="Line 13">
          <a:extLst>
            <a:ext uri="{FF2B5EF4-FFF2-40B4-BE49-F238E27FC236}">
              <a16:creationId xmlns:a16="http://schemas.microsoft.com/office/drawing/2014/main" id="{B668622E-E1ED-4F0B-832B-54133C173E8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0" name="Line 14">
          <a:extLst>
            <a:ext uri="{FF2B5EF4-FFF2-40B4-BE49-F238E27FC236}">
              <a16:creationId xmlns:a16="http://schemas.microsoft.com/office/drawing/2014/main" id="{6BE7D0CD-7219-4047-80E0-9D727B7C80B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1" name="Line 2">
          <a:extLst>
            <a:ext uri="{FF2B5EF4-FFF2-40B4-BE49-F238E27FC236}">
              <a16:creationId xmlns:a16="http://schemas.microsoft.com/office/drawing/2014/main" id="{447A6886-7DD4-43D4-80E9-ACF31030883E}"/>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2" name="Line 3">
          <a:extLst>
            <a:ext uri="{FF2B5EF4-FFF2-40B4-BE49-F238E27FC236}">
              <a16:creationId xmlns:a16="http://schemas.microsoft.com/office/drawing/2014/main" id="{3F837EF6-CC57-497A-8E18-A6C9D9675EE1}"/>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3" name="Line 4">
          <a:extLst>
            <a:ext uri="{FF2B5EF4-FFF2-40B4-BE49-F238E27FC236}">
              <a16:creationId xmlns:a16="http://schemas.microsoft.com/office/drawing/2014/main" id="{97FDE219-C535-4FA1-B741-3A4C49C97F49}"/>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4" name="Line 5">
          <a:extLst>
            <a:ext uri="{FF2B5EF4-FFF2-40B4-BE49-F238E27FC236}">
              <a16:creationId xmlns:a16="http://schemas.microsoft.com/office/drawing/2014/main" id="{F57B96DD-D11D-4005-85DD-C708A6DE5AA2}"/>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5" name="Line 2">
          <a:extLst>
            <a:ext uri="{FF2B5EF4-FFF2-40B4-BE49-F238E27FC236}">
              <a16:creationId xmlns:a16="http://schemas.microsoft.com/office/drawing/2014/main" id="{B253CA77-32EB-4022-9A56-6E3CA9B3482D}"/>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6" name="Line 3">
          <a:extLst>
            <a:ext uri="{FF2B5EF4-FFF2-40B4-BE49-F238E27FC236}">
              <a16:creationId xmlns:a16="http://schemas.microsoft.com/office/drawing/2014/main" id="{70EC2206-1F43-4286-A962-D69A0873CFB3}"/>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7" name="Line 4">
          <a:extLst>
            <a:ext uri="{FF2B5EF4-FFF2-40B4-BE49-F238E27FC236}">
              <a16:creationId xmlns:a16="http://schemas.microsoft.com/office/drawing/2014/main" id="{12897A65-66CE-4A26-AA8C-E98D53AD7080}"/>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8" name="Line 5">
          <a:extLst>
            <a:ext uri="{FF2B5EF4-FFF2-40B4-BE49-F238E27FC236}">
              <a16:creationId xmlns:a16="http://schemas.microsoft.com/office/drawing/2014/main" id="{65FFA58A-7A71-4938-8EC9-ED347637027A}"/>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29" name="Line 2">
          <a:extLst>
            <a:ext uri="{FF2B5EF4-FFF2-40B4-BE49-F238E27FC236}">
              <a16:creationId xmlns:a16="http://schemas.microsoft.com/office/drawing/2014/main" id="{28897801-AE5F-4595-8A87-1891521534B4}"/>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0" name="Line 3">
          <a:extLst>
            <a:ext uri="{FF2B5EF4-FFF2-40B4-BE49-F238E27FC236}">
              <a16:creationId xmlns:a16="http://schemas.microsoft.com/office/drawing/2014/main" id="{7CAAE7CC-E941-4645-AEE1-7FB8C7210CDE}"/>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1" name="Line 4">
          <a:extLst>
            <a:ext uri="{FF2B5EF4-FFF2-40B4-BE49-F238E27FC236}">
              <a16:creationId xmlns:a16="http://schemas.microsoft.com/office/drawing/2014/main" id="{76DB4216-F35C-46BD-89A8-02B2D6479B30}"/>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2" name="Line 1">
          <a:extLst>
            <a:ext uri="{FF2B5EF4-FFF2-40B4-BE49-F238E27FC236}">
              <a16:creationId xmlns:a16="http://schemas.microsoft.com/office/drawing/2014/main" id="{2A255757-4461-443D-807A-8F2C65F6E54A}"/>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3" name="Line 2">
          <a:extLst>
            <a:ext uri="{FF2B5EF4-FFF2-40B4-BE49-F238E27FC236}">
              <a16:creationId xmlns:a16="http://schemas.microsoft.com/office/drawing/2014/main" id="{13E47DF3-904D-4935-A88F-4301BEB1AAA8}"/>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4" name="Line 9">
          <a:extLst>
            <a:ext uri="{FF2B5EF4-FFF2-40B4-BE49-F238E27FC236}">
              <a16:creationId xmlns:a16="http://schemas.microsoft.com/office/drawing/2014/main" id="{52C8F2F3-9A21-4BB5-A488-6037D48C0683}"/>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5" name="Line 10">
          <a:extLst>
            <a:ext uri="{FF2B5EF4-FFF2-40B4-BE49-F238E27FC236}">
              <a16:creationId xmlns:a16="http://schemas.microsoft.com/office/drawing/2014/main" id="{321D92C1-A744-48AD-BB67-BDA5EBC4E16D}"/>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6" name="Line 11">
          <a:extLst>
            <a:ext uri="{FF2B5EF4-FFF2-40B4-BE49-F238E27FC236}">
              <a16:creationId xmlns:a16="http://schemas.microsoft.com/office/drawing/2014/main" id="{2C7FE4BB-F6B7-46AD-A163-FD782EDD697C}"/>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7" name="Line 12">
          <a:extLst>
            <a:ext uri="{FF2B5EF4-FFF2-40B4-BE49-F238E27FC236}">
              <a16:creationId xmlns:a16="http://schemas.microsoft.com/office/drawing/2014/main" id="{EC121AE0-8C4F-4608-8E84-4412F9477028}"/>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8" name="Line 13">
          <a:extLst>
            <a:ext uri="{FF2B5EF4-FFF2-40B4-BE49-F238E27FC236}">
              <a16:creationId xmlns:a16="http://schemas.microsoft.com/office/drawing/2014/main" id="{684DFF14-3E7C-4559-9591-6206F68A4250}"/>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twoCellAnchor>
    <xdr:from>
      <xdr:col>1</xdr:col>
      <xdr:colOff>581025</xdr:colOff>
      <xdr:row>19</xdr:row>
      <xdr:rowOff>85725</xdr:rowOff>
    </xdr:from>
    <xdr:to>
      <xdr:col>1</xdr:col>
      <xdr:colOff>581025</xdr:colOff>
      <xdr:row>19</xdr:row>
      <xdr:rowOff>85725</xdr:rowOff>
    </xdr:to>
    <xdr:sp macro="" textlink="">
      <xdr:nvSpPr>
        <xdr:cNvPr id="39" name="Line 14">
          <a:extLst>
            <a:ext uri="{FF2B5EF4-FFF2-40B4-BE49-F238E27FC236}">
              <a16:creationId xmlns:a16="http://schemas.microsoft.com/office/drawing/2014/main" id="{B8A50FDD-7DB1-4EBF-AD8B-10BF0151C5AC}"/>
            </a:ext>
          </a:extLst>
        </xdr:cNvPr>
        <xdr:cNvSpPr>
          <a:spLocks noChangeShapeType="1"/>
        </xdr:cNvSpPr>
      </xdr:nvSpPr>
      <xdr:spPr bwMode="auto">
        <a:xfrm>
          <a:off x="819150" y="446722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1" name="Line 2">
          <a:extLst>
            <a:ext uri="{FF2B5EF4-FFF2-40B4-BE49-F238E27FC236}">
              <a16:creationId xmlns:a16="http://schemas.microsoft.com/office/drawing/2014/main" id="{3D43ADCD-BFCC-4622-99FB-921CD8628AA1}"/>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2" name="Line 3">
          <a:extLst>
            <a:ext uri="{FF2B5EF4-FFF2-40B4-BE49-F238E27FC236}">
              <a16:creationId xmlns:a16="http://schemas.microsoft.com/office/drawing/2014/main" id="{F8A1A40A-95FC-4511-BE5E-FD4AB14D7946}"/>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3" name="Line 4">
          <a:extLst>
            <a:ext uri="{FF2B5EF4-FFF2-40B4-BE49-F238E27FC236}">
              <a16:creationId xmlns:a16="http://schemas.microsoft.com/office/drawing/2014/main" id="{D59D8E48-13D3-4A3B-8635-807A4B5A940F}"/>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4" name="Line 5">
          <a:extLst>
            <a:ext uri="{FF2B5EF4-FFF2-40B4-BE49-F238E27FC236}">
              <a16:creationId xmlns:a16="http://schemas.microsoft.com/office/drawing/2014/main" id="{6FAD1827-C54E-42DB-8320-F7C7AC8BAC8A}"/>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5" name="Line 2">
          <a:extLst>
            <a:ext uri="{FF2B5EF4-FFF2-40B4-BE49-F238E27FC236}">
              <a16:creationId xmlns:a16="http://schemas.microsoft.com/office/drawing/2014/main" id="{BD9BABEF-BD9E-4CB2-B9D3-606DACBDF783}"/>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6" name="Line 3">
          <a:extLst>
            <a:ext uri="{FF2B5EF4-FFF2-40B4-BE49-F238E27FC236}">
              <a16:creationId xmlns:a16="http://schemas.microsoft.com/office/drawing/2014/main" id="{EA2DD81A-4B75-43AC-8792-E8F21EEF5E99}"/>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7" name="Line 4">
          <a:extLst>
            <a:ext uri="{FF2B5EF4-FFF2-40B4-BE49-F238E27FC236}">
              <a16:creationId xmlns:a16="http://schemas.microsoft.com/office/drawing/2014/main" id="{025C7C52-5DD3-45E8-A9B4-A28DE2466464}"/>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8" name="Line 5">
          <a:extLst>
            <a:ext uri="{FF2B5EF4-FFF2-40B4-BE49-F238E27FC236}">
              <a16:creationId xmlns:a16="http://schemas.microsoft.com/office/drawing/2014/main" id="{B5C5C26F-27F9-41CC-BCC4-79072B96EBE1}"/>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9" name="Line 2">
          <a:extLst>
            <a:ext uri="{FF2B5EF4-FFF2-40B4-BE49-F238E27FC236}">
              <a16:creationId xmlns:a16="http://schemas.microsoft.com/office/drawing/2014/main" id="{78B7365F-4433-4E4A-B84B-DC47DAF4C6DC}"/>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0" name="Line 3">
          <a:extLst>
            <a:ext uri="{FF2B5EF4-FFF2-40B4-BE49-F238E27FC236}">
              <a16:creationId xmlns:a16="http://schemas.microsoft.com/office/drawing/2014/main" id="{9233E161-68DD-4021-B686-012E9EDB72A9}"/>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1" name="Line 4">
          <a:extLst>
            <a:ext uri="{FF2B5EF4-FFF2-40B4-BE49-F238E27FC236}">
              <a16:creationId xmlns:a16="http://schemas.microsoft.com/office/drawing/2014/main" id="{1FC49BF2-1148-4653-BFB0-3A65027F2934}"/>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2" name="Line 1">
          <a:extLst>
            <a:ext uri="{FF2B5EF4-FFF2-40B4-BE49-F238E27FC236}">
              <a16:creationId xmlns:a16="http://schemas.microsoft.com/office/drawing/2014/main" id="{11D75048-4860-4A76-9766-53BB7F344986}"/>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3" name="Line 2">
          <a:extLst>
            <a:ext uri="{FF2B5EF4-FFF2-40B4-BE49-F238E27FC236}">
              <a16:creationId xmlns:a16="http://schemas.microsoft.com/office/drawing/2014/main" id="{F6A9D78E-C2CA-4874-9099-C32E0CECE062}"/>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4" name="Line 9">
          <a:extLst>
            <a:ext uri="{FF2B5EF4-FFF2-40B4-BE49-F238E27FC236}">
              <a16:creationId xmlns:a16="http://schemas.microsoft.com/office/drawing/2014/main" id="{4454DAD8-F893-46BC-9A5D-D22CA6A891D3}"/>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5" name="Line 10">
          <a:extLst>
            <a:ext uri="{FF2B5EF4-FFF2-40B4-BE49-F238E27FC236}">
              <a16:creationId xmlns:a16="http://schemas.microsoft.com/office/drawing/2014/main" id="{6F7F9955-883D-46FF-A376-2EEF4012CCB9}"/>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6" name="Line 11">
          <a:extLst>
            <a:ext uri="{FF2B5EF4-FFF2-40B4-BE49-F238E27FC236}">
              <a16:creationId xmlns:a16="http://schemas.microsoft.com/office/drawing/2014/main" id="{3B33D53A-203C-4F9C-A48D-4D661270310F}"/>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7" name="Line 12">
          <a:extLst>
            <a:ext uri="{FF2B5EF4-FFF2-40B4-BE49-F238E27FC236}">
              <a16:creationId xmlns:a16="http://schemas.microsoft.com/office/drawing/2014/main" id="{3DB6E18C-EFAD-4AE2-9B08-507729D3048D}"/>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8" name="Line 13">
          <a:extLst>
            <a:ext uri="{FF2B5EF4-FFF2-40B4-BE49-F238E27FC236}">
              <a16:creationId xmlns:a16="http://schemas.microsoft.com/office/drawing/2014/main" id="{9C16C4CE-810A-4E5B-94F6-77EE001C843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9" name="Line 14">
          <a:extLst>
            <a:ext uri="{FF2B5EF4-FFF2-40B4-BE49-F238E27FC236}">
              <a16:creationId xmlns:a16="http://schemas.microsoft.com/office/drawing/2014/main" id="{69A70B77-3A30-4E04-A74D-BD64EC9D59EC}"/>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0" name="Line 2">
          <a:extLst>
            <a:ext uri="{FF2B5EF4-FFF2-40B4-BE49-F238E27FC236}">
              <a16:creationId xmlns:a16="http://schemas.microsoft.com/office/drawing/2014/main" id="{120E891A-3846-403F-B4C9-3E80F52CEB3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1" name="Line 3">
          <a:extLst>
            <a:ext uri="{FF2B5EF4-FFF2-40B4-BE49-F238E27FC236}">
              <a16:creationId xmlns:a16="http://schemas.microsoft.com/office/drawing/2014/main" id="{0A7436C2-84AE-4F71-98BB-0C56B32C9D2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2" name="Line 4">
          <a:extLst>
            <a:ext uri="{FF2B5EF4-FFF2-40B4-BE49-F238E27FC236}">
              <a16:creationId xmlns:a16="http://schemas.microsoft.com/office/drawing/2014/main" id="{C2CA0766-2A17-4CE3-92D2-C175F73F10D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3" name="Line 5">
          <a:extLst>
            <a:ext uri="{FF2B5EF4-FFF2-40B4-BE49-F238E27FC236}">
              <a16:creationId xmlns:a16="http://schemas.microsoft.com/office/drawing/2014/main" id="{77CB3FF4-60E7-4FAB-8A4E-E16DCE0DD30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4" name="Line 2">
          <a:extLst>
            <a:ext uri="{FF2B5EF4-FFF2-40B4-BE49-F238E27FC236}">
              <a16:creationId xmlns:a16="http://schemas.microsoft.com/office/drawing/2014/main" id="{7E3BED92-7A86-42B2-A6F1-3B3AF8DE3FF7}"/>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5" name="Line 3">
          <a:extLst>
            <a:ext uri="{FF2B5EF4-FFF2-40B4-BE49-F238E27FC236}">
              <a16:creationId xmlns:a16="http://schemas.microsoft.com/office/drawing/2014/main" id="{EAAF2DDD-F11C-43A2-B643-E99E1A48909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6" name="Line 4">
          <a:extLst>
            <a:ext uri="{FF2B5EF4-FFF2-40B4-BE49-F238E27FC236}">
              <a16:creationId xmlns:a16="http://schemas.microsoft.com/office/drawing/2014/main" id="{682DADEC-C6B0-47F2-A7D5-9683FC5D16E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7" name="Line 5">
          <a:extLst>
            <a:ext uri="{FF2B5EF4-FFF2-40B4-BE49-F238E27FC236}">
              <a16:creationId xmlns:a16="http://schemas.microsoft.com/office/drawing/2014/main" id="{2230D04D-47E0-4A7C-AE7A-0C8F8EF535C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8" name="Line 2">
          <a:extLst>
            <a:ext uri="{FF2B5EF4-FFF2-40B4-BE49-F238E27FC236}">
              <a16:creationId xmlns:a16="http://schemas.microsoft.com/office/drawing/2014/main" id="{D64420D1-C1A5-4980-86FF-317D505F3DC2}"/>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49" name="Line 3">
          <a:extLst>
            <a:ext uri="{FF2B5EF4-FFF2-40B4-BE49-F238E27FC236}">
              <a16:creationId xmlns:a16="http://schemas.microsoft.com/office/drawing/2014/main" id="{306495BC-4167-458F-9FCB-59823AF350A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0" name="Line 4">
          <a:extLst>
            <a:ext uri="{FF2B5EF4-FFF2-40B4-BE49-F238E27FC236}">
              <a16:creationId xmlns:a16="http://schemas.microsoft.com/office/drawing/2014/main" id="{3BB1A732-418F-4C26-B461-2B1C5FE4ED3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1" name="Line 1">
          <a:extLst>
            <a:ext uri="{FF2B5EF4-FFF2-40B4-BE49-F238E27FC236}">
              <a16:creationId xmlns:a16="http://schemas.microsoft.com/office/drawing/2014/main" id="{0F5218D5-E416-4597-981F-C6226BA8F8A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2" name="Line 2">
          <a:extLst>
            <a:ext uri="{FF2B5EF4-FFF2-40B4-BE49-F238E27FC236}">
              <a16:creationId xmlns:a16="http://schemas.microsoft.com/office/drawing/2014/main" id="{7CA99599-3D15-4CEC-A56A-32EE00C498CE}"/>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3" name="Line 9">
          <a:extLst>
            <a:ext uri="{FF2B5EF4-FFF2-40B4-BE49-F238E27FC236}">
              <a16:creationId xmlns:a16="http://schemas.microsoft.com/office/drawing/2014/main" id="{51E65017-02DD-4B86-BB82-8D15B72D24C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4" name="Line 10">
          <a:extLst>
            <a:ext uri="{FF2B5EF4-FFF2-40B4-BE49-F238E27FC236}">
              <a16:creationId xmlns:a16="http://schemas.microsoft.com/office/drawing/2014/main" id="{2DA5179C-E828-4E89-A128-24EC0E926C7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5" name="Line 11">
          <a:extLst>
            <a:ext uri="{FF2B5EF4-FFF2-40B4-BE49-F238E27FC236}">
              <a16:creationId xmlns:a16="http://schemas.microsoft.com/office/drawing/2014/main" id="{58C1140E-0A62-4943-8D1E-7BDD84576128}"/>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6" name="Line 12">
          <a:extLst>
            <a:ext uri="{FF2B5EF4-FFF2-40B4-BE49-F238E27FC236}">
              <a16:creationId xmlns:a16="http://schemas.microsoft.com/office/drawing/2014/main" id="{CCFEC572-548F-4747-84B8-1711D8102EE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7" name="Line 13">
          <a:extLst>
            <a:ext uri="{FF2B5EF4-FFF2-40B4-BE49-F238E27FC236}">
              <a16:creationId xmlns:a16="http://schemas.microsoft.com/office/drawing/2014/main" id="{E94E5BD5-AC29-4E89-9D21-F194B51D4AF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16</xdr:row>
      <xdr:rowOff>85725</xdr:rowOff>
    </xdr:from>
    <xdr:to>
      <xdr:col>1</xdr:col>
      <xdr:colOff>581025</xdr:colOff>
      <xdr:row>16</xdr:row>
      <xdr:rowOff>85725</xdr:rowOff>
    </xdr:to>
    <xdr:sp macro="" textlink="">
      <xdr:nvSpPr>
        <xdr:cNvPr id="58" name="Line 14">
          <a:extLst>
            <a:ext uri="{FF2B5EF4-FFF2-40B4-BE49-F238E27FC236}">
              <a16:creationId xmlns:a16="http://schemas.microsoft.com/office/drawing/2014/main" id="{970A7A9C-801C-49AA-B0DC-33C19B0C6DD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2">
          <a:extLst>
            <a:ext uri="{FF2B5EF4-FFF2-40B4-BE49-F238E27FC236}">
              <a16:creationId xmlns:a16="http://schemas.microsoft.com/office/drawing/2014/main" id="{DBA64EA2-76F7-403D-82D8-609B9CE418A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3">
          <a:extLst>
            <a:ext uri="{FF2B5EF4-FFF2-40B4-BE49-F238E27FC236}">
              <a16:creationId xmlns:a16="http://schemas.microsoft.com/office/drawing/2014/main" id="{540CC03A-1C18-4349-8DBF-D1430E45523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4">
          <a:extLst>
            <a:ext uri="{FF2B5EF4-FFF2-40B4-BE49-F238E27FC236}">
              <a16:creationId xmlns:a16="http://schemas.microsoft.com/office/drawing/2014/main" id="{B5DEC69E-5312-4BD9-8A2D-BD05192BE82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5">
          <a:extLst>
            <a:ext uri="{FF2B5EF4-FFF2-40B4-BE49-F238E27FC236}">
              <a16:creationId xmlns:a16="http://schemas.microsoft.com/office/drawing/2014/main" id="{DC411BCA-7CC6-46E2-BB6C-50847CE0E0C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2">
          <a:extLst>
            <a:ext uri="{FF2B5EF4-FFF2-40B4-BE49-F238E27FC236}">
              <a16:creationId xmlns:a16="http://schemas.microsoft.com/office/drawing/2014/main" id="{46618A28-7A6E-42AB-A8FC-6CC00F01D13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3">
          <a:extLst>
            <a:ext uri="{FF2B5EF4-FFF2-40B4-BE49-F238E27FC236}">
              <a16:creationId xmlns:a16="http://schemas.microsoft.com/office/drawing/2014/main" id="{4FC0F03B-DC2D-4F1E-BBB5-49C3125E038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4">
          <a:extLst>
            <a:ext uri="{FF2B5EF4-FFF2-40B4-BE49-F238E27FC236}">
              <a16:creationId xmlns:a16="http://schemas.microsoft.com/office/drawing/2014/main" id="{A84B750C-BDEC-4986-8176-D2D52FCE0F8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9" name="Line 5">
          <a:extLst>
            <a:ext uri="{FF2B5EF4-FFF2-40B4-BE49-F238E27FC236}">
              <a16:creationId xmlns:a16="http://schemas.microsoft.com/office/drawing/2014/main" id="{E98B5D96-5F6C-464D-BFB0-93D4130F0C0C}"/>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0" name="Line 2">
          <a:extLst>
            <a:ext uri="{FF2B5EF4-FFF2-40B4-BE49-F238E27FC236}">
              <a16:creationId xmlns:a16="http://schemas.microsoft.com/office/drawing/2014/main" id="{174B61C5-CF1A-4EB5-A5CA-E8D0A05383B6}"/>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1" name="Line 3">
          <a:extLst>
            <a:ext uri="{FF2B5EF4-FFF2-40B4-BE49-F238E27FC236}">
              <a16:creationId xmlns:a16="http://schemas.microsoft.com/office/drawing/2014/main" id="{1867165D-3B37-4AD5-B3CC-7FC9B6343E8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2" name="Line 4">
          <a:extLst>
            <a:ext uri="{FF2B5EF4-FFF2-40B4-BE49-F238E27FC236}">
              <a16:creationId xmlns:a16="http://schemas.microsoft.com/office/drawing/2014/main" id="{E3ECA4E4-6EDA-4E95-AE95-907C20AEA775}"/>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3" name="Line 1">
          <a:extLst>
            <a:ext uri="{FF2B5EF4-FFF2-40B4-BE49-F238E27FC236}">
              <a16:creationId xmlns:a16="http://schemas.microsoft.com/office/drawing/2014/main" id="{A2A5F1E9-EB10-4D6F-A589-F5BB2B5BEA5A}"/>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4" name="Line 2">
          <a:extLst>
            <a:ext uri="{FF2B5EF4-FFF2-40B4-BE49-F238E27FC236}">
              <a16:creationId xmlns:a16="http://schemas.microsoft.com/office/drawing/2014/main" id="{30083E08-9A6F-4EDA-B7DB-D2447586FDE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5" name="Line 9">
          <a:extLst>
            <a:ext uri="{FF2B5EF4-FFF2-40B4-BE49-F238E27FC236}">
              <a16:creationId xmlns:a16="http://schemas.microsoft.com/office/drawing/2014/main" id="{33683937-E8DB-4266-A6B6-F9A41D6D7B2B}"/>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6" name="Line 10">
          <a:extLst>
            <a:ext uri="{FF2B5EF4-FFF2-40B4-BE49-F238E27FC236}">
              <a16:creationId xmlns:a16="http://schemas.microsoft.com/office/drawing/2014/main" id="{9E9D4FB0-DD5E-4E6C-825C-EA4E9CEE71E3}"/>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7" name="Line 11">
          <a:extLst>
            <a:ext uri="{FF2B5EF4-FFF2-40B4-BE49-F238E27FC236}">
              <a16:creationId xmlns:a16="http://schemas.microsoft.com/office/drawing/2014/main" id="{A45D3893-6977-419D-97A7-160EFF65BF2D}"/>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8" name="Line 12">
          <a:extLst>
            <a:ext uri="{FF2B5EF4-FFF2-40B4-BE49-F238E27FC236}">
              <a16:creationId xmlns:a16="http://schemas.microsoft.com/office/drawing/2014/main" id="{255DAEBA-2FD9-4271-B04C-708FFB435791}"/>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19" name="Line 13">
          <a:extLst>
            <a:ext uri="{FF2B5EF4-FFF2-40B4-BE49-F238E27FC236}">
              <a16:creationId xmlns:a16="http://schemas.microsoft.com/office/drawing/2014/main" id="{D42B8A25-8AD3-4F96-96E3-9B8D27A7EFDF}"/>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20" name="Line 14">
          <a:extLst>
            <a:ext uri="{FF2B5EF4-FFF2-40B4-BE49-F238E27FC236}">
              <a16:creationId xmlns:a16="http://schemas.microsoft.com/office/drawing/2014/main" id="{A34BEBAF-6613-40CD-AD89-AA47BFD6B789}"/>
            </a:ext>
          </a:extLst>
        </xdr:cNvPr>
        <xdr:cNvSpPr>
          <a:spLocks noChangeShapeType="1"/>
        </xdr:cNvSpPr>
      </xdr:nvSpPr>
      <xdr:spPr bwMode="auto">
        <a:xfrm>
          <a:off x="819150" y="5905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1" name="Line 2">
          <a:extLst>
            <a:ext uri="{FF2B5EF4-FFF2-40B4-BE49-F238E27FC236}">
              <a16:creationId xmlns:a16="http://schemas.microsoft.com/office/drawing/2014/main" id="{A7C16B7E-4EBF-436D-9E7C-BB3BC553A5D5}"/>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2" name="Line 3">
          <a:extLst>
            <a:ext uri="{FF2B5EF4-FFF2-40B4-BE49-F238E27FC236}">
              <a16:creationId xmlns:a16="http://schemas.microsoft.com/office/drawing/2014/main" id="{9D88B268-AB45-43FA-B9C8-60CF0E2AF2D7}"/>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3" name="Line 4">
          <a:extLst>
            <a:ext uri="{FF2B5EF4-FFF2-40B4-BE49-F238E27FC236}">
              <a16:creationId xmlns:a16="http://schemas.microsoft.com/office/drawing/2014/main" id="{4E3B0386-CBA2-4D39-B5CF-2024B954FFCC}"/>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4" name="Line 5">
          <a:extLst>
            <a:ext uri="{FF2B5EF4-FFF2-40B4-BE49-F238E27FC236}">
              <a16:creationId xmlns:a16="http://schemas.microsoft.com/office/drawing/2014/main" id="{F9B7B503-28CA-4BC1-B1EC-EA060FF6A969}"/>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5" name="Line 2">
          <a:extLst>
            <a:ext uri="{FF2B5EF4-FFF2-40B4-BE49-F238E27FC236}">
              <a16:creationId xmlns:a16="http://schemas.microsoft.com/office/drawing/2014/main" id="{0E24EC5F-B722-4EE2-B51B-0A57B9D13847}"/>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6" name="Line 3">
          <a:extLst>
            <a:ext uri="{FF2B5EF4-FFF2-40B4-BE49-F238E27FC236}">
              <a16:creationId xmlns:a16="http://schemas.microsoft.com/office/drawing/2014/main" id="{27685232-C141-4B0B-A2F1-F6D37863A6AB}"/>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7" name="Line 4">
          <a:extLst>
            <a:ext uri="{FF2B5EF4-FFF2-40B4-BE49-F238E27FC236}">
              <a16:creationId xmlns:a16="http://schemas.microsoft.com/office/drawing/2014/main" id="{5DD25A1F-425F-47B5-9494-644111308803}"/>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8" name="Line 5">
          <a:extLst>
            <a:ext uri="{FF2B5EF4-FFF2-40B4-BE49-F238E27FC236}">
              <a16:creationId xmlns:a16="http://schemas.microsoft.com/office/drawing/2014/main" id="{0F267E24-1557-49C9-ABC0-97ECC52736D1}"/>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29" name="Line 2">
          <a:extLst>
            <a:ext uri="{FF2B5EF4-FFF2-40B4-BE49-F238E27FC236}">
              <a16:creationId xmlns:a16="http://schemas.microsoft.com/office/drawing/2014/main" id="{C4696433-DC21-42C0-805D-385AD771936C}"/>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0" name="Line 3">
          <a:extLst>
            <a:ext uri="{FF2B5EF4-FFF2-40B4-BE49-F238E27FC236}">
              <a16:creationId xmlns:a16="http://schemas.microsoft.com/office/drawing/2014/main" id="{09BDFC24-DBB9-437B-BBD1-77D317F28F0E}"/>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1" name="Line 4">
          <a:extLst>
            <a:ext uri="{FF2B5EF4-FFF2-40B4-BE49-F238E27FC236}">
              <a16:creationId xmlns:a16="http://schemas.microsoft.com/office/drawing/2014/main" id="{A81137D8-4C7E-4033-B46D-45EC5292C26F}"/>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2" name="Line 1">
          <a:extLst>
            <a:ext uri="{FF2B5EF4-FFF2-40B4-BE49-F238E27FC236}">
              <a16:creationId xmlns:a16="http://schemas.microsoft.com/office/drawing/2014/main" id="{FB4C68A9-D938-4C78-9D05-5E92A2C1A589}"/>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3" name="Line 2">
          <a:extLst>
            <a:ext uri="{FF2B5EF4-FFF2-40B4-BE49-F238E27FC236}">
              <a16:creationId xmlns:a16="http://schemas.microsoft.com/office/drawing/2014/main" id="{C9C61BD8-07FC-41B6-8B91-79B5992E8653}"/>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4" name="Line 9">
          <a:extLst>
            <a:ext uri="{FF2B5EF4-FFF2-40B4-BE49-F238E27FC236}">
              <a16:creationId xmlns:a16="http://schemas.microsoft.com/office/drawing/2014/main" id="{F8BB613B-4FF0-4B70-8460-C542EB5989A9}"/>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5" name="Line 10">
          <a:extLst>
            <a:ext uri="{FF2B5EF4-FFF2-40B4-BE49-F238E27FC236}">
              <a16:creationId xmlns:a16="http://schemas.microsoft.com/office/drawing/2014/main" id="{6C299DBA-CBB3-4C3B-9571-9AA3F6EA4F65}"/>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6" name="Line 11">
          <a:extLst>
            <a:ext uri="{FF2B5EF4-FFF2-40B4-BE49-F238E27FC236}">
              <a16:creationId xmlns:a16="http://schemas.microsoft.com/office/drawing/2014/main" id="{3EB46B16-7DDC-4CBD-A238-EA019167A165}"/>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7" name="Line 12">
          <a:extLst>
            <a:ext uri="{FF2B5EF4-FFF2-40B4-BE49-F238E27FC236}">
              <a16:creationId xmlns:a16="http://schemas.microsoft.com/office/drawing/2014/main" id="{BF3EB034-3139-47BB-BC5B-9F926BD74C09}"/>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8" name="Line 13">
          <a:extLst>
            <a:ext uri="{FF2B5EF4-FFF2-40B4-BE49-F238E27FC236}">
              <a16:creationId xmlns:a16="http://schemas.microsoft.com/office/drawing/2014/main" id="{1B89AAC8-012B-4FB1-AE5B-1FDA0075DAC2}"/>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twoCellAnchor>
    <xdr:from>
      <xdr:col>1</xdr:col>
      <xdr:colOff>581025</xdr:colOff>
      <xdr:row>15</xdr:row>
      <xdr:rowOff>85725</xdr:rowOff>
    </xdr:from>
    <xdr:to>
      <xdr:col>1</xdr:col>
      <xdr:colOff>581025</xdr:colOff>
      <xdr:row>15</xdr:row>
      <xdr:rowOff>85725</xdr:rowOff>
    </xdr:to>
    <xdr:sp macro="" textlink="">
      <xdr:nvSpPr>
        <xdr:cNvPr id="39" name="Line 14">
          <a:extLst>
            <a:ext uri="{FF2B5EF4-FFF2-40B4-BE49-F238E27FC236}">
              <a16:creationId xmlns:a16="http://schemas.microsoft.com/office/drawing/2014/main" id="{EF0BC758-57BB-4035-B742-5EC950D7332D}"/>
            </a:ext>
          </a:extLst>
        </xdr:cNvPr>
        <xdr:cNvSpPr>
          <a:spLocks noChangeShapeType="1"/>
        </xdr:cNvSpPr>
      </xdr:nvSpPr>
      <xdr:spPr bwMode="auto">
        <a:xfrm>
          <a:off x="819150" y="3067050"/>
          <a:ext cx="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581025</xdr:colOff>
      <xdr:row>3</xdr:row>
      <xdr:rowOff>85725</xdr:rowOff>
    </xdr:from>
    <xdr:to>
      <xdr:col>1</xdr:col>
      <xdr:colOff>581025</xdr:colOff>
      <xdr:row>3</xdr:row>
      <xdr:rowOff>85725</xdr:rowOff>
    </xdr:to>
    <xdr:sp macro="" textlink="">
      <xdr:nvSpPr>
        <xdr:cNvPr id="21" name="Line 2">
          <a:extLst>
            <a:ext uri="{FF2B5EF4-FFF2-40B4-BE49-F238E27FC236}">
              <a16:creationId xmlns:a16="http://schemas.microsoft.com/office/drawing/2014/main" id="{DFCF712A-BD04-4442-9A38-3C59C423691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2" name="Line 3">
          <a:extLst>
            <a:ext uri="{FF2B5EF4-FFF2-40B4-BE49-F238E27FC236}">
              <a16:creationId xmlns:a16="http://schemas.microsoft.com/office/drawing/2014/main" id="{BF958ECB-F553-4766-B461-D2B0BE39CEE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3" name="Line 4">
          <a:extLst>
            <a:ext uri="{FF2B5EF4-FFF2-40B4-BE49-F238E27FC236}">
              <a16:creationId xmlns:a16="http://schemas.microsoft.com/office/drawing/2014/main" id="{AF3ADF36-E440-4C84-94CE-BE295C2A9FD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4" name="Line 5">
          <a:extLst>
            <a:ext uri="{FF2B5EF4-FFF2-40B4-BE49-F238E27FC236}">
              <a16:creationId xmlns:a16="http://schemas.microsoft.com/office/drawing/2014/main" id="{99138DB3-246A-4EC4-8A4F-52F2E2D29F4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5" name="Line 2">
          <a:extLst>
            <a:ext uri="{FF2B5EF4-FFF2-40B4-BE49-F238E27FC236}">
              <a16:creationId xmlns:a16="http://schemas.microsoft.com/office/drawing/2014/main" id="{F7AC82A9-49B2-4BBA-A7B0-A566800EA69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6" name="Line 3">
          <a:extLst>
            <a:ext uri="{FF2B5EF4-FFF2-40B4-BE49-F238E27FC236}">
              <a16:creationId xmlns:a16="http://schemas.microsoft.com/office/drawing/2014/main" id="{7D024E56-1348-49AC-808B-9813CD0A159F}"/>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7" name="Line 4">
          <a:extLst>
            <a:ext uri="{FF2B5EF4-FFF2-40B4-BE49-F238E27FC236}">
              <a16:creationId xmlns:a16="http://schemas.microsoft.com/office/drawing/2014/main" id="{4B1FE6EF-F401-4482-BEF0-43E6115CB97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8" name="Line 5">
          <a:extLst>
            <a:ext uri="{FF2B5EF4-FFF2-40B4-BE49-F238E27FC236}">
              <a16:creationId xmlns:a16="http://schemas.microsoft.com/office/drawing/2014/main" id="{D64FB16A-26C0-4BF7-AF2E-6CC9F426064C}"/>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29" name="Line 2">
          <a:extLst>
            <a:ext uri="{FF2B5EF4-FFF2-40B4-BE49-F238E27FC236}">
              <a16:creationId xmlns:a16="http://schemas.microsoft.com/office/drawing/2014/main" id="{D78A974E-C06C-424A-8D7F-82F631565ED5}"/>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0" name="Line 3">
          <a:extLst>
            <a:ext uri="{FF2B5EF4-FFF2-40B4-BE49-F238E27FC236}">
              <a16:creationId xmlns:a16="http://schemas.microsoft.com/office/drawing/2014/main" id="{0103F67E-E71C-46B2-BE36-CDE57BDC41BD}"/>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1" name="Line 4">
          <a:extLst>
            <a:ext uri="{FF2B5EF4-FFF2-40B4-BE49-F238E27FC236}">
              <a16:creationId xmlns:a16="http://schemas.microsoft.com/office/drawing/2014/main" id="{087416B2-89D1-485B-BFF4-3B1E9E1287E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2" name="Line 1">
          <a:extLst>
            <a:ext uri="{FF2B5EF4-FFF2-40B4-BE49-F238E27FC236}">
              <a16:creationId xmlns:a16="http://schemas.microsoft.com/office/drawing/2014/main" id="{A903977B-0979-4115-AC49-509846CDD33A}"/>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3" name="Line 2">
          <a:extLst>
            <a:ext uri="{FF2B5EF4-FFF2-40B4-BE49-F238E27FC236}">
              <a16:creationId xmlns:a16="http://schemas.microsoft.com/office/drawing/2014/main" id="{262576B9-830B-43E7-B736-4F0AB9314B12}"/>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4" name="Line 9">
          <a:extLst>
            <a:ext uri="{FF2B5EF4-FFF2-40B4-BE49-F238E27FC236}">
              <a16:creationId xmlns:a16="http://schemas.microsoft.com/office/drawing/2014/main" id="{B002DB42-9504-4583-9919-A2165B67C488}"/>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5" name="Line 10">
          <a:extLst>
            <a:ext uri="{FF2B5EF4-FFF2-40B4-BE49-F238E27FC236}">
              <a16:creationId xmlns:a16="http://schemas.microsoft.com/office/drawing/2014/main" id="{A9764F7D-00B6-45A6-9A0F-E64990064CE8}"/>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6" name="Line 11">
          <a:extLst>
            <a:ext uri="{FF2B5EF4-FFF2-40B4-BE49-F238E27FC236}">
              <a16:creationId xmlns:a16="http://schemas.microsoft.com/office/drawing/2014/main" id="{F74979E8-A881-4ACC-9A8C-BA8E5D86BD26}"/>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7" name="Line 12">
          <a:extLst>
            <a:ext uri="{FF2B5EF4-FFF2-40B4-BE49-F238E27FC236}">
              <a16:creationId xmlns:a16="http://schemas.microsoft.com/office/drawing/2014/main" id="{F877740B-E65C-4A82-8558-06B9212B7C6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8" name="Line 13">
          <a:extLst>
            <a:ext uri="{FF2B5EF4-FFF2-40B4-BE49-F238E27FC236}">
              <a16:creationId xmlns:a16="http://schemas.microsoft.com/office/drawing/2014/main" id="{5BB31C5D-7415-4D8B-AD8F-D6FC2990E40B}"/>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twoCellAnchor>
    <xdr:from>
      <xdr:col>1</xdr:col>
      <xdr:colOff>581025</xdr:colOff>
      <xdr:row>3</xdr:row>
      <xdr:rowOff>85725</xdr:rowOff>
    </xdr:from>
    <xdr:to>
      <xdr:col>1</xdr:col>
      <xdr:colOff>581025</xdr:colOff>
      <xdr:row>3</xdr:row>
      <xdr:rowOff>85725</xdr:rowOff>
    </xdr:to>
    <xdr:sp macro="" textlink="">
      <xdr:nvSpPr>
        <xdr:cNvPr id="39" name="Line 14">
          <a:extLst>
            <a:ext uri="{FF2B5EF4-FFF2-40B4-BE49-F238E27FC236}">
              <a16:creationId xmlns:a16="http://schemas.microsoft.com/office/drawing/2014/main" id="{2558D924-3822-4DC7-A8B4-14F01392C468}"/>
            </a:ext>
          </a:extLst>
        </xdr:cNvPr>
        <xdr:cNvSpPr>
          <a:spLocks noChangeShapeType="1"/>
        </xdr:cNvSpPr>
      </xdr:nvSpPr>
      <xdr:spPr bwMode="auto">
        <a:xfrm>
          <a:off x="819150" y="914400"/>
          <a:ext cx="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581025</xdr:colOff>
      <xdr:row>3</xdr:row>
      <xdr:rowOff>28575</xdr:rowOff>
    </xdr:from>
    <xdr:to>
      <xdr:col>18</xdr:col>
      <xdr:colOff>209550</xdr:colOff>
      <xdr:row>31</xdr:row>
      <xdr:rowOff>57150</xdr:rowOff>
    </xdr:to>
    <xdr:sp macro="" textlink="">
      <xdr:nvSpPr>
        <xdr:cNvPr id="2" name="CasellaDiTesto 1">
          <a:extLst>
            <a:ext uri="{FF2B5EF4-FFF2-40B4-BE49-F238E27FC236}">
              <a16:creationId xmlns:a16="http://schemas.microsoft.com/office/drawing/2014/main" id="{0628A012-382C-4EFE-97C2-18E28C4C3898}"/>
            </a:ext>
          </a:extLst>
        </xdr:cNvPr>
        <xdr:cNvSpPr txBox="1"/>
      </xdr:nvSpPr>
      <xdr:spPr>
        <a:xfrm>
          <a:off x="581025" y="514350"/>
          <a:ext cx="10601325"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2021 financial results include the </a:t>
          </a:r>
          <a:r>
            <a:rPr lang="en-US" sz="1100" b="1" cap="all">
              <a:solidFill>
                <a:schemeClr val="dk1"/>
              </a:solidFill>
              <a:effectLst/>
              <a:latin typeface="+mn-lt"/>
              <a:ea typeface="+mn-ea"/>
              <a:cs typeface="+mn-cs"/>
            </a:rPr>
            <a:t>impacts of the change in accounting policy</a:t>
          </a:r>
          <a:r>
            <a:rPr lang="en-US" sz="1100">
              <a:solidFill>
                <a:schemeClr val="dk1"/>
              </a:solidFill>
              <a:effectLst/>
              <a:latin typeface="+mn-lt"/>
              <a:ea typeface="+mn-ea"/>
              <a:cs typeface="+mn-cs"/>
            </a:rPr>
            <a:t> following the IFRIC's agenda decision related to the capitalization of costs directly attributable to the configuration and customization of application software under ‘Software as a Service’ (‘SaaS’) arrangements. </a:t>
          </a:r>
          <a:endParaRPr lang="it-IT" sz="1100">
            <a:solidFill>
              <a:schemeClr val="dk1"/>
            </a:solidFill>
            <a:effectLst/>
            <a:latin typeface="+mn-lt"/>
            <a:ea typeface="+mn-ea"/>
            <a:cs typeface="+mn-cs"/>
          </a:endParaRPr>
        </a:p>
        <a:p>
          <a:r>
            <a:rPr lang="en-GB" sz="1100">
              <a:solidFill>
                <a:schemeClr val="dk1"/>
              </a:solidFill>
              <a:effectLst/>
              <a:latin typeface="+mn-lt"/>
              <a:ea typeface="+mn-ea"/>
              <a:cs typeface="+mn-cs"/>
            </a:rPr>
            <a:t>For those arrangements - mainly some investments in software implemented in the recent years for the digitalization of the sales channels – Safilo has thus derecognized the intangible assets previously capitalized and increased the EDP costs within the general and administrative expenses.</a:t>
          </a:r>
          <a:endParaRPr lang="it-IT" sz="1100">
            <a:solidFill>
              <a:schemeClr val="dk1"/>
            </a:solidFill>
            <a:effectLst/>
            <a:latin typeface="+mn-lt"/>
            <a:ea typeface="+mn-ea"/>
            <a:cs typeface="+mn-cs"/>
          </a:endParaRPr>
        </a:p>
        <a:p>
          <a:r>
            <a:rPr lang="en-GB" sz="1100" b="1" u="none" strike="noStrike">
              <a:solidFill>
                <a:schemeClr val="dk1"/>
              </a:solidFill>
              <a:effectLst/>
              <a:latin typeface="+mn-lt"/>
              <a:ea typeface="+mn-ea"/>
              <a:cs typeface="+mn-cs"/>
            </a:rPr>
            <a:t> </a:t>
          </a:r>
          <a:endParaRPr lang="it-IT" sz="1100">
            <a:solidFill>
              <a:schemeClr val="dk1"/>
            </a:solidFill>
            <a:effectLst/>
            <a:latin typeface="+mn-lt"/>
            <a:ea typeface="+mn-ea"/>
            <a:cs typeface="+mn-cs"/>
          </a:endParaRPr>
        </a:p>
        <a:p>
          <a:r>
            <a:rPr lang="en-GB" sz="1100">
              <a:solidFill>
                <a:schemeClr val="dk1"/>
              </a:solidFill>
              <a:effectLst/>
              <a:latin typeface="+mn-lt"/>
              <a:ea typeface="+mn-ea"/>
              <a:cs typeface="+mn-cs"/>
            </a:rPr>
            <a:t>The table below show the impacts of this change in accounting policy on 2021 financial results (fully accounted for in the fourth quarter) as well as on 2020 and 2019 given its retrospective application.</a:t>
          </a:r>
          <a:endParaRPr lang="it-IT" sz="1100">
            <a:solidFill>
              <a:schemeClr val="dk1"/>
            </a:solidFill>
            <a:effectLst/>
            <a:latin typeface="+mn-lt"/>
            <a:ea typeface="+mn-ea"/>
            <a:cs typeface="+mn-cs"/>
          </a:endParaRPr>
        </a:p>
        <a:p>
          <a:endParaRPr lang="it-IT" sz="1100"/>
        </a:p>
        <a:p>
          <a:endParaRPr lang="it-IT" sz="1100"/>
        </a:p>
      </xdr:txBody>
    </xdr:sp>
    <xdr:clientData/>
  </xdr:twoCellAnchor>
  <xdr:twoCellAnchor editAs="oneCell">
    <xdr:from>
      <xdr:col>1</xdr:col>
      <xdr:colOff>57150</xdr:colOff>
      <xdr:row>12</xdr:row>
      <xdr:rowOff>28575</xdr:rowOff>
    </xdr:from>
    <xdr:to>
      <xdr:col>10</xdr:col>
      <xdr:colOff>589798</xdr:colOff>
      <xdr:row>30</xdr:row>
      <xdr:rowOff>56782</xdr:rowOff>
    </xdr:to>
    <xdr:pic>
      <xdr:nvPicPr>
        <xdr:cNvPr id="7" name="Immagine 6">
          <a:extLst>
            <a:ext uri="{FF2B5EF4-FFF2-40B4-BE49-F238E27FC236}">
              <a16:creationId xmlns:a16="http://schemas.microsoft.com/office/drawing/2014/main" id="{C501A55F-1897-40CA-94AE-48805E3CF0D5}"/>
            </a:ext>
          </a:extLst>
        </xdr:cNvPr>
        <xdr:cNvPicPr>
          <a:picLocks noChangeAspect="1"/>
        </xdr:cNvPicPr>
      </xdr:nvPicPr>
      <xdr:blipFill>
        <a:blip xmlns:r="http://schemas.openxmlformats.org/officeDocument/2006/relationships" r:embed="rId1"/>
        <a:stretch>
          <a:fillRect/>
        </a:stretch>
      </xdr:blipFill>
      <xdr:spPr>
        <a:xfrm>
          <a:off x="666750" y="1971675"/>
          <a:ext cx="6019048" cy="29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data_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o Economico Anno"/>
      <sheetName val="Conto Economico 1° semestre"/>
      <sheetName val="Trading Update trimestrale"/>
      <sheetName val="Stato Patrimoniale al 31 dic."/>
      <sheetName val="Stato Patrimoniale al 30 giugno"/>
      <sheetName val="Rendiconto finanziario Anno"/>
      <sheetName val="Rendiconto finan. 1° Semestre"/>
      <sheetName val="N° Dipendenti"/>
      <sheetName val="IFRIC SaaS Agenda"/>
    </sheetNames>
    <sheetDataSet>
      <sheetData sheetId="0">
        <row r="5">
          <cell r="D5">
            <v>1076.7449999999999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881D6-9425-4808-AB10-AA2A618927F7}">
  <sheetPr>
    <pageSetUpPr fitToPage="1"/>
  </sheetPr>
  <dimension ref="A1:AC80"/>
  <sheetViews>
    <sheetView showGridLines="0" topLeftCell="A40" zoomScaleNormal="100" zoomScaleSheetLayoutView="115" workbookViewId="0">
      <selection activeCell="B71" sqref="B71:O71"/>
    </sheetView>
  </sheetViews>
  <sheetFormatPr defaultRowHeight="12.75" x14ac:dyDescent="0.2"/>
  <cols>
    <col min="1" max="1" width="3.5703125" customWidth="1"/>
    <col min="2" max="2" width="57.140625" customWidth="1"/>
    <col min="3" max="5" width="20.7109375" customWidth="1"/>
    <col min="6" max="6" width="20.7109375" style="225" customWidth="1"/>
    <col min="7" max="7" width="20.7109375" customWidth="1"/>
    <col min="8" max="9" width="20.7109375" style="225" customWidth="1"/>
    <col min="10" max="10" width="6.28515625" style="224" customWidth="1"/>
    <col min="11" max="12" width="16.28515625" customWidth="1"/>
    <col min="13" max="22" width="16.28515625" style="74" customWidth="1"/>
  </cols>
  <sheetData>
    <row r="1" spans="2:22" ht="26.25" x14ac:dyDescent="0.4">
      <c r="B1" s="2" t="s">
        <v>286</v>
      </c>
      <c r="C1" s="2"/>
      <c r="D1" s="2"/>
      <c r="E1" s="2"/>
      <c r="F1" s="313"/>
      <c r="G1" s="2"/>
      <c r="H1" s="313"/>
      <c r="I1" s="313"/>
      <c r="J1" s="214"/>
      <c r="K1" s="2"/>
      <c r="L1" s="2"/>
      <c r="M1" s="80"/>
      <c r="N1" s="80"/>
      <c r="O1" s="80"/>
      <c r="P1" s="80"/>
      <c r="Q1" s="80"/>
      <c r="R1" s="80"/>
      <c r="S1" s="80"/>
      <c r="T1" s="80"/>
      <c r="U1" s="80"/>
      <c r="V1" s="80"/>
    </row>
    <row r="2" spans="2:22" ht="13.5" thickBot="1" x14ac:dyDescent="0.25"/>
    <row r="3" spans="2:22" s="9" customFormat="1" ht="24" customHeight="1" thickBot="1" x14ac:dyDescent="0.25">
      <c r="B3" s="198" t="s">
        <v>44</v>
      </c>
      <c r="C3" s="203">
        <v>2023</v>
      </c>
      <c r="D3" s="203">
        <v>2022</v>
      </c>
      <c r="E3" s="203">
        <v>2021</v>
      </c>
      <c r="F3" s="203" t="s">
        <v>343</v>
      </c>
      <c r="G3" s="203">
        <v>2020</v>
      </c>
      <c r="H3" s="280" t="s">
        <v>299</v>
      </c>
      <c r="I3" s="280" t="s">
        <v>300</v>
      </c>
      <c r="J3" s="283"/>
      <c r="K3" s="203" t="s">
        <v>301</v>
      </c>
      <c r="L3" s="203" t="s">
        <v>302</v>
      </c>
      <c r="M3" s="203" t="s">
        <v>10</v>
      </c>
      <c r="N3" s="203">
        <v>2016</v>
      </c>
      <c r="O3" s="203">
        <v>2015</v>
      </c>
      <c r="P3" s="203">
        <v>2014</v>
      </c>
      <c r="Q3" s="203" t="s">
        <v>8</v>
      </c>
      <c r="R3" s="203" t="s">
        <v>7</v>
      </c>
      <c r="S3" s="203" t="s">
        <v>6</v>
      </c>
      <c r="T3" s="203" t="s">
        <v>5</v>
      </c>
      <c r="U3" s="203" t="s">
        <v>2</v>
      </c>
      <c r="V3" s="203" t="s">
        <v>3</v>
      </c>
    </row>
    <row r="4" spans="2:22" s="9" customFormat="1" ht="15.75" x14ac:dyDescent="0.2">
      <c r="B4" s="33"/>
      <c r="C4" s="462"/>
      <c r="D4" s="33"/>
      <c r="E4" s="33"/>
      <c r="F4" s="33"/>
      <c r="G4" s="33"/>
      <c r="H4" s="34"/>
      <c r="I4" s="34"/>
      <c r="J4" s="34"/>
      <c r="K4" s="34"/>
      <c r="L4" s="34"/>
      <c r="M4" s="82"/>
      <c r="N4" s="82"/>
      <c r="O4" s="82"/>
      <c r="P4" s="82"/>
      <c r="Q4" s="82"/>
      <c r="R4" s="82"/>
      <c r="S4" s="82"/>
      <c r="T4" s="82"/>
      <c r="U4" s="82"/>
      <c r="V4" s="82"/>
    </row>
    <row r="5" spans="2:22" ht="18.75" customHeight="1" x14ac:dyDescent="0.2">
      <c r="B5" s="38" t="s">
        <v>12</v>
      </c>
      <c r="C5" s="463">
        <v>1024.7</v>
      </c>
      <c r="D5" s="387">
        <v>1076.7449999999999</v>
      </c>
      <c r="E5" s="387">
        <v>969.58399999999995</v>
      </c>
      <c r="F5" s="300">
        <v>780.3</v>
      </c>
      <c r="G5" s="234">
        <v>780.3</v>
      </c>
      <c r="H5" s="314">
        <v>939</v>
      </c>
      <c r="I5" s="281">
        <v>910.7</v>
      </c>
      <c r="J5" s="284"/>
      <c r="K5" s="25">
        <v>964.7</v>
      </c>
      <c r="L5" s="29">
        <v>962.86099999999999</v>
      </c>
      <c r="M5" s="83">
        <v>1035.4000000000001</v>
      </c>
      <c r="N5" s="83">
        <v>1252.9000000000001</v>
      </c>
      <c r="O5" s="83">
        <v>1279</v>
      </c>
      <c r="P5" s="83">
        <v>1178.7</v>
      </c>
      <c r="Q5" s="83">
        <v>1121.5</v>
      </c>
      <c r="R5" s="83">
        <v>1175.3</v>
      </c>
      <c r="S5" s="83">
        <v>1101.8820000000001</v>
      </c>
      <c r="T5" s="83">
        <v>1079.9000000000001</v>
      </c>
      <c r="U5" s="83">
        <v>1011.2</v>
      </c>
      <c r="V5" s="83">
        <v>1147.8</v>
      </c>
    </row>
    <row r="6" spans="2:22" ht="18.75" customHeight="1" x14ac:dyDescent="0.2">
      <c r="B6" s="39" t="s">
        <v>13</v>
      </c>
      <c r="C6" s="389">
        <v>585.70000000000005</v>
      </c>
      <c r="D6" s="388">
        <v>597.45000000000005</v>
      </c>
      <c r="E6" s="388">
        <v>501.76</v>
      </c>
      <c r="F6" s="281">
        <v>362.5</v>
      </c>
      <c r="G6" s="177">
        <v>362.5</v>
      </c>
      <c r="H6" s="281">
        <v>476.9</v>
      </c>
      <c r="I6" s="281">
        <v>453.2</v>
      </c>
      <c r="J6" s="284"/>
      <c r="K6" s="26">
        <v>487.3</v>
      </c>
      <c r="L6" s="30">
        <v>481.52</v>
      </c>
      <c r="M6" s="74">
        <v>519.6</v>
      </c>
      <c r="N6" s="84">
        <v>715.6</v>
      </c>
      <c r="O6" s="84">
        <v>757</v>
      </c>
      <c r="P6" s="84">
        <v>718.6</v>
      </c>
      <c r="Q6" s="84">
        <v>683.7</v>
      </c>
      <c r="R6" s="84">
        <v>679.69999999999993</v>
      </c>
      <c r="S6" s="84">
        <v>652.28599999999994</v>
      </c>
      <c r="T6" s="84">
        <v>629.9</v>
      </c>
      <c r="U6" s="84">
        <v>572.5</v>
      </c>
      <c r="V6" s="84">
        <v>663</v>
      </c>
    </row>
    <row r="7" spans="2:22" ht="18.75" customHeight="1" x14ac:dyDescent="0.2">
      <c r="B7" s="379" t="s">
        <v>333</v>
      </c>
      <c r="C7" s="381">
        <f>C6/C$5</f>
        <v>0.57158192641748806</v>
      </c>
      <c r="D7" s="380">
        <f>D6/D$5</f>
        <v>0.55486675118064177</v>
      </c>
      <c r="E7" s="380">
        <v>0.51700000000000002</v>
      </c>
      <c r="F7" s="380">
        <f>F6/F$5</f>
        <v>0.46456491093169294</v>
      </c>
      <c r="G7" s="380">
        <f>G6/G$5</f>
        <v>0.46456491093169294</v>
      </c>
      <c r="H7" s="380">
        <f t="shared" ref="H7:I7" si="0">H6/H$5</f>
        <v>0.50788072417465391</v>
      </c>
      <c r="I7" s="380">
        <f t="shared" si="0"/>
        <v>0.49763917865378277</v>
      </c>
      <c r="J7"/>
      <c r="K7" s="380">
        <f t="shared" ref="K7:V7" si="1">K6/K$5</f>
        <v>0.50513112884834666</v>
      </c>
      <c r="L7" s="380">
        <f t="shared" si="1"/>
        <v>0.50009295214989491</v>
      </c>
      <c r="M7" s="380">
        <f t="shared" si="1"/>
        <v>0.50183503959822284</v>
      </c>
      <c r="N7" s="380">
        <f t="shared" si="1"/>
        <v>0.57115492058424455</v>
      </c>
      <c r="O7" s="380">
        <f t="shared" si="1"/>
        <v>0.59186864738076628</v>
      </c>
      <c r="P7" s="380">
        <f t="shared" si="1"/>
        <v>0.60965470433528468</v>
      </c>
      <c r="Q7" s="380">
        <f t="shared" si="1"/>
        <v>0.60962995987516722</v>
      </c>
      <c r="R7" s="380">
        <f t="shared" si="1"/>
        <v>0.57832042882668255</v>
      </c>
      <c r="S7" s="380">
        <f t="shared" si="1"/>
        <v>0.59197445824507511</v>
      </c>
      <c r="T7" s="380">
        <f t="shared" si="1"/>
        <v>0.58329474951384386</v>
      </c>
      <c r="U7" s="380">
        <f t="shared" si="1"/>
        <v>0.56615901898734178</v>
      </c>
      <c r="V7" s="380">
        <f t="shared" si="1"/>
        <v>0.57762676424464199</v>
      </c>
    </row>
    <row r="8" spans="2:22" ht="18.75" customHeight="1" x14ac:dyDescent="0.2">
      <c r="B8" s="39" t="s">
        <v>376</v>
      </c>
      <c r="C8" s="389">
        <v>601.79999999999995</v>
      </c>
      <c r="D8" s="28">
        <v>597.6</v>
      </c>
      <c r="E8" s="389"/>
      <c r="F8" s="28"/>
      <c r="G8" s="28"/>
      <c r="H8" s="281"/>
      <c r="I8" s="281"/>
      <c r="J8" s="284"/>
      <c r="K8" s="28"/>
      <c r="L8" s="32"/>
      <c r="M8" s="85"/>
      <c r="N8" s="85"/>
      <c r="O8" s="85"/>
      <c r="P8" s="85"/>
      <c r="Q8" s="85"/>
      <c r="R8" s="85"/>
      <c r="S8" s="85"/>
      <c r="T8" s="85"/>
      <c r="U8" s="85"/>
      <c r="V8" s="85"/>
    </row>
    <row r="9" spans="2:22" ht="18.75" customHeight="1" x14ac:dyDescent="0.2">
      <c r="B9" s="379" t="s">
        <v>333</v>
      </c>
      <c r="C9" s="381">
        <f>C8/C$5</f>
        <v>0.58729384210012681</v>
      </c>
      <c r="D9" s="381">
        <f>D8/'[1]Conto Economico Anno'!D$5</f>
        <v>0.55500605993062435</v>
      </c>
      <c r="E9" s="380"/>
      <c r="F9" s="380"/>
      <c r="G9" s="380"/>
      <c r="H9" s="380"/>
      <c r="I9" s="380"/>
      <c r="J9"/>
      <c r="K9" s="380"/>
      <c r="L9" s="380"/>
      <c r="M9" s="380"/>
      <c r="N9" s="380"/>
      <c r="O9" s="380"/>
      <c r="P9" s="380"/>
      <c r="Q9" s="380"/>
      <c r="R9" s="380"/>
      <c r="S9" s="380"/>
      <c r="T9" s="380"/>
      <c r="U9" s="380"/>
      <c r="V9" s="380"/>
    </row>
    <row r="10" spans="2:22" ht="7.5" customHeight="1" x14ac:dyDescent="0.2">
      <c r="B10" s="40"/>
      <c r="C10" s="6"/>
      <c r="D10" s="40"/>
      <c r="E10" s="40"/>
      <c r="F10" s="284"/>
      <c r="G10" s="243"/>
      <c r="H10" s="28"/>
      <c r="I10" s="32"/>
      <c r="J10" s="285"/>
      <c r="K10" s="28"/>
      <c r="L10" s="32"/>
      <c r="M10" s="85"/>
      <c r="N10" s="85"/>
      <c r="O10" s="85"/>
      <c r="P10" s="85"/>
      <c r="Q10" s="85"/>
      <c r="R10" s="85"/>
      <c r="S10" s="85"/>
      <c r="T10" s="85"/>
      <c r="U10" s="85"/>
      <c r="V10" s="85"/>
    </row>
    <row r="11" spans="2:22" ht="18.75" customHeight="1" x14ac:dyDescent="0.2">
      <c r="B11" s="40" t="s">
        <v>0</v>
      </c>
      <c r="C11" s="389">
        <v>62.9</v>
      </c>
      <c r="D11" s="389">
        <v>96.8</v>
      </c>
      <c r="E11" s="389">
        <v>79.3</v>
      </c>
      <c r="F11" s="28">
        <v>-24</v>
      </c>
      <c r="G11" s="28">
        <v>-20.100000000000001</v>
      </c>
      <c r="H11" s="281">
        <v>26.1</v>
      </c>
      <c r="I11" s="281">
        <v>51.5</v>
      </c>
      <c r="J11" s="284"/>
      <c r="K11" s="28">
        <v>23</v>
      </c>
      <c r="L11" s="32">
        <v>41.738999999999997</v>
      </c>
      <c r="M11" s="85">
        <v>25.9</v>
      </c>
      <c r="N11" s="85">
        <v>80.900000000000006</v>
      </c>
      <c r="O11" s="85">
        <v>82.4</v>
      </c>
      <c r="P11" s="85">
        <v>110.7</v>
      </c>
      <c r="Q11" s="85">
        <v>111.7</v>
      </c>
      <c r="R11" s="85">
        <v>115.1</v>
      </c>
      <c r="S11" s="85">
        <v>122.6</v>
      </c>
      <c r="T11" s="85">
        <v>107.8</v>
      </c>
      <c r="U11" s="85">
        <v>58.2</v>
      </c>
      <c r="V11" s="85">
        <v>126.3</v>
      </c>
    </row>
    <row r="12" spans="2:22" ht="18.75" customHeight="1" x14ac:dyDescent="0.2">
      <c r="B12" s="379" t="s">
        <v>333</v>
      </c>
      <c r="C12" s="381">
        <f>C11/C$5</f>
        <v>6.1383819654533031E-2</v>
      </c>
      <c r="D12" s="380">
        <f>D11/D$5</f>
        <v>8.9900579988762427E-2</v>
      </c>
      <c r="E12" s="380">
        <f>E11/E$5</f>
        <v>8.1787653261604976E-2</v>
      </c>
      <c r="F12" s="380">
        <f>F11/F$5</f>
        <v>-3.0757400999615533E-2</v>
      </c>
      <c r="G12" s="380">
        <f>G11/G$5</f>
        <v>-2.5759323337178012E-2</v>
      </c>
      <c r="H12" s="380">
        <f t="shared" ref="H12:I12" si="2">H11/H$5</f>
        <v>2.7795527156549524E-2</v>
      </c>
      <c r="I12" s="380">
        <f t="shared" si="2"/>
        <v>5.6549906665202591E-2</v>
      </c>
      <c r="J12"/>
      <c r="K12" s="380">
        <f t="shared" ref="K12:V12" si="3">K11/K$5</f>
        <v>2.3841608790297501E-2</v>
      </c>
      <c r="L12" s="380">
        <f t="shared" si="3"/>
        <v>4.3348936139276588E-2</v>
      </c>
      <c r="M12" s="380">
        <f t="shared" si="3"/>
        <v>2.5014487154722809E-2</v>
      </c>
      <c r="N12" s="380">
        <f t="shared" si="3"/>
        <v>6.4570197142629099E-2</v>
      </c>
      <c r="O12" s="380">
        <f t="shared" si="3"/>
        <v>6.4425332290852233E-2</v>
      </c>
      <c r="P12" s="380">
        <f t="shared" si="3"/>
        <v>9.3917027233392722E-2</v>
      </c>
      <c r="Q12" s="380">
        <f t="shared" si="3"/>
        <v>9.9598751671868033E-2</v>
      </c>
      <c r="R12" s="380">
        <f t="shared" si="3"/>
        <v>9.7932442780566661E-2</v>
      </c>
      <c r="S12" s="380">
        <f t="shared" si="3"/>
        <v>0.11126418255312273</v>
      </c>
      <c r="T12" s="380">
        <f t="shared" si="3"/>
        <v>9.9824057783128056E-2</v>
      </c>
      <c r="U12" s="380">
        <f t="shared" si="3"/>
        <v>5.7555379746835444E-2</v>
      </c>
      <c r="V12" s="380">
        <f t="shared" si="3"/>
        <v>0.11003659174072138</v>
      </c>
    </row>
    <row r="13" spans="2:22" ht="18.75" customHeight="1" x14ac:dyDescent="0.2">
      <c r="B13" s="40" t="s">
        <v>41</v>
      </c>
      <c r="C13" s="389">
        <v>92</v>
      </c>
      <c r="D13" s="389">
        <v>101.2</v>
      </c>
      <c r="E13" s="389">
        <v>81.5</v>
      </c>
      <c r="F13" s="28">
        <v>-3</v>
      </c>
      <c r="G13" s="28">
        <v>1</v>
      </c>
      <c r="H13" s="281">
        <v>65.400000000000006</v>
      </c>
      <c r="I13" s="281">
        <v>57.3</v>
      </c>
      <c r="J13" s="284"/>
      <c r="K13" s="28">
        <v>63.7</v>
      </c>
      <c r="L13" s="32">
        <v>47.505000000000003</v>
      </c>
      <c r="M13" s="85">
        <v>41.1</v>
      </c>
      <c r="N13" s="85">
        <v>88.8</v>
      </c>
      <c r="O13" s="85">
        <v>102.4</v>
      </c>
      <c r="P13" s="85">
        <v>118.4</v>
      </c>
      <c r="Q13" s="85">
        <v>121.8</v>
      </c>
      <c r="R13" s="85"/>
      <c r="S13" s="85"/>
      <c r="T13" s="85"/>
      <c r="U13" s="85">
        <v>65.7</v>
      </c>
      <c r="V13" s="85"/>
    </row>
    <row r="14" spans="2:22" ht="18.75" customHeight="1" x14ac:dyDescent="0.2">
      <c r="B14" s="379" t="s">
        <v>333</v>
      </c>
      <c r="C14" s="381">
        <f>C13/C$5</f>
        <v>8.9782375329364686E-2</v>
      </c>
      <c r="D14" s="380">
        <f>D13/D$5</f>
        <v>9.3986969988251637E-2</v>
      </c>
      <c r="E14" s="380">
        <f>E13/E$5</f>
        <v>8.4056667601775617E-2</v>
      </c>
      <c r="F14" s="380">
        <f>F13/F$5</f>
        <v>-3.8446751249519417E-3</v>
      </c>
      <c r="G14" s="380">
        <f>G13/G$5</f>
        <v>1.2815583749839806E-3</v>
      </c>
      <c r="H14" s="380">
        <f t="shared" ref="H14" si="4">H13/H$5</f>
        <v>6.9648562300319489E-2</v>
      </c>
      <c r="I14" s="380">
        <f t="shared" ref="I14" si="5">I13/I$5</f>
        <v>6.2918634017788508E-2</v>
      </c>
      <c r="J14"/>
      <c r="K14" s="380">
        <f t="shared" ref="K14" si="6">K13/K$5</f>
        <v>6.6030890432258738E-2</v>
      </c>
      <c r="L14" s="380">
        <f t="shared" ref="L14" si="7">L13/L$5</f>
        <v>4.9337339449827135E-2</v>
      </c>
      <c r="M14" s="380">
        <f t="shared" ref="M14" si="8">M13/M$5</f>
        <v>3.9694803940506083E-2</v>
      </c>
      <c r="N14" s="380">
        <f t="shared" ref="N14" si="9">N13/N$5</f>
        <v>7.0875568680660861E-2</v>
      </c>
      <c r="O14" s="380">
        <f t="shared" ref="O14" si="10">O13/O$5</f>
        <v>8.0062548866301805E-2</v>
      </c>
      <c r="P14" s="380">
        <f t="shared" ref="P14" si="11">P13/P$5</f>
        <v>0.10044964791719692</v>
      </c>
      <c r="Q14" s="380">
        <f t="shared" ref="Q14" si="12">Q13/Q$5</f>
        <v>0.10860454748105217</v>
      </c>
      <c r="R14" s="380">
        <f t="shared" ref="R14" si="13">R13/R$5</f>
        <v>0</v>
      </c>
      <c r="S14" s="380">
        <f t="shared" ref="S14" si="14">S13/S$5</f>
        <v>0</v>
      </c>
      <c r="T14" s="380">
        <f t="shared" ref="T14" si="15">T13/T$5</f>
        <v>0</v>
      </c>
      <c r="U14" s="380">
        <f t="shared" ref="U14" si="16">U13/U$5</f>
        <v>6.4972310126582278E-2</v>
      </c>
      <c r="V14" s="380">
        <f t="shared" ref="V14" si="17">V13/V$5</f>
        <v>0</v>
      </c>
    </row>
    <row r="15" spans="2:22" ht="7.5" customHeight="1" x14ac:dyDescent="0.2">
      <c r="B15" s="40"/>
      <c r="C15" s="39"/>
      <c r="D15" s="40"/>
      <c r="E15" s="40"/>
      <c r="F15" s="284"/>
      <c r="G15" s="243"/>
      <c r="H15" s="28"/>
      <c r="I15" s="32"/>
      <c r="J15" s="285"/>
      <c r="K15" s="28"/>
      <c r="L15" s="32"/>
      <c r="M15" s="85"/>
      <c r="N15" s="85"/>
      <c r="O15" s="85"/>
      <c r="P15" s="85"/>
      <c r="Q15" s="85"/>
      <c r="R15" s="85"/>
      <c r="S15" s="85"/>
      <c r="T15" s="85"/>
      <c r="U15" s="85"/>
      <c r="V15" s="85"/>
    </row>
    <row r="16" spans="2:22" ht="18.75" customHeight="1" x14ac:dyDescent="0.2">
      <c r="B16" s="40" t="s">
        <v>14</v>
      </c>
      <c r="C16" s="389">
        <v>7.7</v>
      </c>
      <c r="D16" s="389">
        <v>48.5</v>
      </c>
      <c r="E16" s="389">
        <v>26.1</v>
      </c>
      <c r="F16" s="28">
        <v>-83.4</v>
      </c>
      <c r="G16" s="28">
        <v>-79.8</v>
      </c>
      <c r="H16" s="28">
        <v>-271.7</v>
      </c>
      <c r="I16" s="281">
        <v>7.6</v>
      </c>
      <c r="J16" s="284"/>
      <c r="K16" s="28">
        <v>-294.5</v>
      </c>
      <c r="L16" s="32">
        <v>-5.891</v>
      </c>
      <c r="M16" s="85">
        <v>-208.2</v>
      </c>
      <c r="N16" s="85">
        <v>-116.3</v>
      </c>
      <c r="O16" s="85">
        <v>0.8</v>
      </c>
      <c r="P16" s="85">
        <v>75.3</v>
      </c>
      <c r="Q16" s="85">
        <v>74.7</v>
      </c>
      <c r="R16" s="85">
        <v>73.899999999999963</v>
      </c>
      <c r="S16" s="85">
        <v>86.2</v>
      </c>
      <c r="T16" s="85">
        <v>67.8</v>
      </c>
      <c r="U16" s="85">
        <v>-270.7</v>
      </c>
      <c r="V16" s="85">
        <v>86.3</v>
      </c>
    </row>
    <row r="17" spans="1:29" ht="18.75" customHeight="1" x14ac:dyDescent="0.2">
      <c r="B17" s="379" t="s">
        <v>333</v>
      </c>
      <c r="C17" s="381">
        <v>7.0000000000000001E-3</v>
      </c>
      <c r="D17" s="380">
        <f>D16/D$5</f>
        <v>4.5043162494369612E-2</v>
      </c>
      <c r="E17" s="380">
        <f>E16/E$5</f>
        <v>2.6918761035660658E-2</v>
      </c>
      <c r="F17" s="380">
        <f>F16/F$5</f>
        <v>-0.10688196847366399</v>
      </c>
      <c r="G17" s="380">
        <f>G16/G$5</f>
        <v>-0.10226835832372165</v>
      </c>
      <c r="H17" s="380">
        <f t="shared" ref="H17" si="18">H16/H$5</f>
        <v>-0.28935037273695419</v>
      </c>
      <c r="I17" s="380">
        <f t="shared" ref="I17" si="19">I16/I$5</f>
        <v>8.3452289447677602E-3</v>
      </c>
      <c r="J17"/>
      <c r="K17" s="380">
        <f t="shared" ref="K17" si="20">K16/K$5</f>
        <v>-0.30527625168446149</v>
      </c>
      <c r="L17" s="380">
        <f t="shared" ref="L17" si="21">L16/L$5</f>
        <v>-6.1182247489513022E-3</v>
      </c>
      <c r="M17" s="380">
        <f t="shared" ref="M17" si="22">M16/M$5</f>
        <v>-0.20108170755263663</v>
      </c>
      <c r="N17" s="380">
        <f t="shared" ref="N17" si="23">N16/N$5</f>
        <v>-9.2824646819379034E-2</v>
      </c>
      <c r="O17" s="380">
        <f t="shared" ref="O17" si="24">O16/O$5</f>
        <v>6.2548866301798285E-4</v>
      </c>
      <c r="P17" s="380">
        <f t="shared" ref="P17" si="25">P16/P$5</f>
        <v>6.3883939933825393E-2</v>
      </c>
      <c r="Q17" s="380">
        <f t="shared" ref="Q17" si="26">Q16/Q$5</f>
        <v>6.6607222469906371E-2</v>
      </c>
      <c r="R17" s="380">
        <f t="shared" ref="R17" si="27">R16/R$5</f>
        <v>6.287756317535946E-2</v>
      </c>
      <c r="S17" s="380">
        <f t="shared" ref="S17" si="28">S16/S$5</f>
        <v>7.8229792300808981E-2</v>
      </c>
      <c r="T17" s="380">
        <f t="shared" ref="T17" si="29">T16/T$5</f>
        <v>6.2783591073247519E-2</v>
      </c>
      <c r="U17" s="380">
        <f t="shared" ref="U17" si="30">U16/U$5</f>
        <v>-0.26770174050632911</v>
      </c>
      <c r="V17" s="380">
        <f t="shared" ref="V17" si="31">V16/V$5</f>
        <v>7.5187314863216587E-2</v>
      </c>
    </row>
    <row r="18" spans="1:29" ht="18.75" customHeight="1" x14ac:dyDescent="0.2">
      <c r="B18" s="40" t="s">
        <v>42</v>
      </c>
      <c r="C18" s="389">
        <v>49.6</v>
      </c>
      <c r="D18" s="389">
        <v>53.5</v>
      </c>
      <c r="E18" s="389">
        <v>32.9</v>
      </c>
      <c r="F18" s="28">
        <v>-57.9</v>
      </c>
      <c r="G18" s="28">
        <v>-54.3</v>
      </c>
      <c r="H18" s="281">
        <v>3.7</v>
      </c>
      <c r="I18" s="281">
        <v>13.5</v>
      </c>
      <c r="J18" s="284"/>
      <c r="K18" s="28">
        <v>-4.0999999999999996</v>
      </c>
      <c r="L18" s="32">
        <v>4.0000000000000001E-3</v>
      </c>
      <c r="M18" s="85">
        <v>-0.8</v>
      </c>
      <c r="N18" s="85">
        <v>43.5</v>
      </c>
      <c r="O18" s="85">
        <v>61.4</v>
      </c>
      <c r="P18" s="85">
        <v>83</v>
      </c>
      <c r="Q18" s="85">
        <v>84.8</v>
      </c>
      <c r="R18" s="85"/>
      <c r="S18" s="85"/>
      <c r="T18" s="85"/>
      <c r="U18" s="85">
        <v>16.100000000000001</v>
      </c>
      <c r="V18" s="85"/>
    </row>
    <row r="19" spans="1:29" ht="18.75" customHeight="1" x14ac:dyDescent="0.2">
      <c r="B19" s="379" t="s">
        <v>333</v>
      </c>
      <c r="C19" s="381">
        <f>C18/C$5</f>
        <v>4.8404411047135748E-2</v>
      </c>
      <c r="D19" s="380">
        <f>D18/D$5</f>
        <v>4.9686787493789158E-2</v>
      </c>
      <c r="E19" s="380">
        <f>E18/E$5</f>
        <v>3.3932078087097146E-2</v>
      </c>
      <c r="F19" s="380">
        <f>F18/F$5</f>
        <v>-7.4202229911572479E-2</v>
      </c>
      <c r="G19" s="380">
        <f>G18/G$5</f>
        <v>-6.9588619761630138E-2</v>
      </c>
      <c r="H19" s="380">
        <f t="shared" ref="H19" si="32">H18/H$5</f>
        <v>3.9403620873269436E-3</v>
      </c>
      <c r="I19" s="380">
        <f t="shared" ref="I19" si="33">I18/I$5</f>
        <v>1.4823761941363785E-2</v>
      </c>
      <c r="J19"/>
      <c r="K19" s="380">
        <f t="shared" ref="K19" si="34">K18/K$5</f>
        <v>-4.2500259147921632E-3</v>
      </c>
      <c r="L19" s="380">
        <f t="shared" ref="L19" si="35">L18/L$5</f>
        <v>4.1542860288245136E-6</v>
      </c>
      <c r="M19" s="380">
        <f t="shared" ref="M19" si="36">M18/M$5</f>
        <v>-7.7264825188333008E-4</v>
      </c>
      <c r="N19" s="380">
        <f t="shared" ref="N19" si="37">N18/N$5</f>
        <v>3.471945087397238E-2</v>
      </c>
      <c r="O19" s="380">
        <f t="shared" ref="O19" si="38">O18/O$5</f>
        <v>4.8006254886630177E-2</v>
      </c>
      <c r="P19" s="380">
        <f t="shared" ref="P19" si="39">P18/P$5</f>
        <v>7.0416560617629589E-2</v>
      </c>
      <c r="Q19" s="380">
        <f t="shared" ref="Q19" si="40">Q18/Q$5</f>
        <v>7.5613018279090505E-2</v>
      </c>
      <c r="R19" s="380">
        <f t="shared" ref="R19" si="41">R18/R$5</f>
        <v>0</v>
      </c>
      <c r="S19" s="380">
        <f t="shared" ref="S19" si="42">S18/S$5</f>
        <v>0</v>
      </c>
      <c r="T19" s="380">
        <f t="shared" ref="T19" si="43">T18/T$5</f>
        <v>0</v>
      </c>
      <c r="U19" s="380">
        <f t="shared" ref="U19" si="44">U18/U$5</f>
        <v>1.5921677215189875E-2</v>
      </c>
      <c r="V19" s="380">
        <f t="shared" ref="V19" si="45">V18/V$5</f>
        <v>0</v>
      </c>
    </row>
    <row r="20" spans="1:29" ht="7.5" customHeight="1" x14ac:dyDescent="0.2">
      <c r="B20" s="6"/>
      <c r="C20" s="6"/>
      <c r="D20" s="6"/>
      <c r="E20" s="6"/>
      <c r="F20" s="302"/>
      <c r="G20" s="81"/>
      <c r="H20" s="315"/>
      <c r="I20" s="316"/>
      <c r="J20" s="286"/>
      <c r="K20" s="27"/>
      <c r="L20" s="31"/>
      <c r="M20" s="81"/>
      <c r="N20" s="84"/>
      <c r="O20" s="84"/>
      <c r="P20" s="84"/>
      <c r="Q20" s="84"/>
      <c r="R20" s="84"/>
      <c r="S20" s="84"/>
      <c r="T20" s="84"/>
      <c r="U20" s="84"/>
      <c r="V20" s="84"/>
    </row>
    <row r="21" spans="1:29" ht="18.75" customHeight="1" x14ac:dyDescent="0.2">
      <c r="B21" s="40" t="s">
        <v>15</v>
      </c>
      <c r="C21" s="389">
        <v>-24.6</v>
      </c>
      <c r="D21" s="389">
        <v>54.2</v>
      </c>
      <c r="E21" s="389">
        <v>21.3</v>
      </c>
      <c r="F21" s="28">
        <v>-73</v>
      </c>
      <c r="G21" s="28">
        <v>-69.400000000000006</v>
      </c>
      <c r="H21" s="28">
        <v>-301.89999999999998</v>
      </c>
      <c r="I21" s="32">
        <v>-19.8</v>
      </c>
      <c r="J21" s="285"/>
      <c r="K21" s="28">
        <v>-328.3</v>
      </c>
      <c r="L21" s="32">
        <v>-32.445999999999998</v>
      </c>
      <c r="M21" s="85">
        <v>-251.6</v>
      </c>
      <c r="N21" s="85">
        <v>-142.1</v>
      </c>
      <c r="O21" s="85">
        <v>-52.7</v>
      </c>
      <c r="P21" s="85">
        <v>39.1</v>
      </c>
      <c r="Q21" s="85">
        <v>15.5</v>
      </c>
      <c r="R21" s="85">
        <v>25.899999999999959</v>
      </c>
      <c r="S21" s="85">
        <v>27.9</v>
      </c>
      <c r="T21" s="85">
        <v>0.7</v>
      </c>
      <c r="U21" s="85">
        <v>-351.4</v>
      </c>
      <c r="V21" s="85">
        <v>-23.3</v>
      </c>
    </row>
    <row r="22" spans="1:29" ht="18.75" customHeight="1" x14ac:dyDescent="0.2">
      <c r="B22" s="379" t="s">
        <v>333</v>
      </c>
      <c r="C22" s="381">
        <f>C21/C$5</f>
        <v>-2.4007026446764907E-2</v>
      </c>
      <c r="D22" s="380">
        <f>D21/D$5</f>
        <v>5.0336894993707894E-2</v>
      </c>
      <c r="E22" s="380">
        <f>E21/E$5</f>
        <v>2.1968184293470191E-2</v>
      </c>
      <c r="F22" s="380">
        <f>F21/F$5</f>
        <v>-9.3553761373830577E-2</v>
      </c>
      <c r="G22" s="380">
        <f>G21/G$5</f>
        <v>-8.8940151223888264E-2</v>
      </c>
      <c r="H22" s="380">
        <f t="shared" ref="H22" si="46">H21/H$5</f>
        <v>-0.32151224707135245</v>
      </c>
      <c r="I22" s="380">
        <f t="shared" ref="I22" si="47">I21/I$5</f>
        <v>-2.1741517514000219E-2</v>
      </c>
      <c r="J22"/>
      <c r="K22" s="380">
        <f t="shared" ref="K22" si="48">K21/K$5</f>
        <v>-0.34031305068933349</v>
      </c>
      <c r="L22" s="380">
        <f t="shared" ref="L22" si="49">L21/L$5</f>
        <v>-3.3697491122810043E-2</v>
      </c>
      <c r="M22" s="380">
        <f t="shared" ref="M22" si="50">M21/M$5</f>
        <v>-0.24299787521730729</v>
      </c>
      <c r="N22" s="380">
        <f t="shared" ref="N22" si="51">N21/N$5</f>
        <v>-0.11341687285497644</v>
      </c>
      <c r="O22" s="380">
        <f t="shared" ref="O22" si="52">O21/O$5</f>
        <v>-4.1204065676309617E-2</v>
      </c>
      <c r="P22" s="380">
        <f t="shared" ref="P22" si="53">P21/P$5</f>
        <v>3.3172138796979722E-2</v>
      </c>
      <c r="Q22" s="380">
        <f t="shared" ref="Q22" si="54">Q21/Q$5</f>
        <v>1.3820775746767721E-2</v>
      </c>
      <c r="R22" s="380">
        <f t="shared" ref="R22" si="55">R21/R$5</f>
        <v>2.2036926742108363E-2</v>
      </c>
      <c r="S22" s="380">
        <f t="shared" ref="S22" si="56">S21/S$5</f>
        <v>2.5320315605482254E-2</v>
      </c>
      <c r="T22" s="380">
        <f t="shared" ref="T22" si="57">T21/T$5</f>
        <v>6.4820816742290946E-4</v>
      </c>
      <c r="U22" s="380">
        <f t="shared" ref="U22" si="58">U21/U$5</f>
        <v>-0.347507911392405</v>
      </c>
      <c r="V22" s="380">
        <f t="shared" ref="V22" si="59">V21/V$5</f>
        <v>-2.0299703781146542E-2</v>
      </c>
    </row>
    <row r="23" spans="1:29" ht="18.75" customHeight="1" x14ac:dyDescent="0.2">
      <c r="B23" s="40" t="s">
        <v>43</v>
      </c>
      <c r="C23" s="389">
        <v>14</v>
      </c>
      <c r="D23" s="389">
        <v>58.3</v>
      </c>
      <c r="E23" s="389">
        <v>27.4</v>
      </c>
      <c r="F23" s="28">
        <v>-50.1</v>
      </c>
      <c r="G23" s="28">
        <v>-46.5</v>
      </c>
      <c r="H23" s="28">
        <v>-6</v>
      </c>
      <c r="I23" s="32">
        <v>-14</v>
      </c>
      <c r="J23" s="285"/>
      <c r="K23" s="28">
        <v>-13.7</v>
      </c>
      <c r="L23" s="32">
        <v>-26.724</v>
      </c>
      <c r="M23" s="85">
        <v>-47.1</v>
      </c>
      <c r="N23" s="85">
        <v>15.4</v>
      </c>
      <c r="O23" s="85">
        <v>6.9</v>
      </c>
      <c r="P23" s="85">
        <v>44.5</v>
      </c>
      <c r="Q23" s="85">
        <v>39</v>
      </c>
      <c r="R23" s="85"/>
      <c r="S23" s="85"/>
      <c r="T23" s="85"/>
      <c r="U23" s="85">
        <v>-33.700000000000003</v>
      </c>
      <c r="V23" s="85">
        <v>14.6</v>
      </c>
    </row>
    <row r="24" spans="1:29" ht="18.75" customHeight="1" x14ac:dyDescent="0.2">
      <c r="B24" s="379" t="s">
        <v>333</v>
      </c>
      <c r="C24" s="381">
        <f>C23/C$5</f>
        <v>1.3662535376207669E-2</v>
      </c>
      <c r="D24" s="380">
        <f>D23/D$5</f>
        <v>5.4144667493231921E-2</v>
      </c>
      <c r="E24" s="380">
        <f>E23/E$5</f>
        <v>2.8259542236670571E-2</v>
      </c>
      <c r="F24" s="380">
        <f>F23/F$5</f>
        <v>-6.4206074586697429E-2</v>
      </c>
      <c r="G24" s="380">
        <f>G23/G$5</f>
        <v>-5.9592464436755095E-2</v>
      </c>
      <c r="H24" s="380">
        <f t="shared" ref="H24" si="60">H23/H$5</f>
        <v>-6.3897763578274758E-3</v>
      </c>
      <c r="I24" s="380">
        <f t="shared" ref="I24" si="61">I23/I$5</f>
        <v>-1.5372790161414296E-2</v>
      </c>
      <c r="J24"/>
      <c r="K24" s="380">
        <f t="shared" ref="K24" si="62">K23/K$5</f>
        <v>-1.4201306105525032E-2</v>
      </c>
      <c r="L24" s="380">
        <f t="shared" ref="L24" si="63">L23/L$5</f>
        <v>-2.7754784958576577E-2</v>
      </c>
      <c r="M24" s="380">
        <f t="shared" ref="M24" si="64">M23/M$5</f>
        <v>-4.5489665829631057E-2</v>
      </c>
      <c r="N24" s="380">
        <f t="shared" ref="N24" si="65">N23/N$5</f>
        <v>1.2291483757682176E-2</v>
      </c>
      <c r="O24" s="380">
        <f t="shared" ref="O24" si="66">O23/O$5</f>
        <v>5.394839718530102E-3</v>
      </c>
      <c r="P24" s="380">
        <f t="shared" ref="P24" si="67">P23/P$5</f>
        <v>3.7753457198608634E-2</v>
      </c>
      <c r="Q24" s="380">
        <f t="shared" ref="Q24" si="68">Q23/Q$5</f>
        <v>3.4774855104770394E-2</v>
      </c>
      <c r="R24" s="380">
        <f t="shared" ref="R24" si="69">R23/R$5</f>
        <v>0</v>
      </c>
      <c r="S24" s="380">
        <f t="shared" ref="S24" si="70">S23/S$5</f>
        <v>0</v>
      </c>
      <c r="T24" s="380">
        <f t="shared" ref="T24" si="71">T23/T$5</f>
        <v>0</v>
      </c>
      <c r="U24" s="380">
        <f t="shared" ref="U24" si="72">U23/U$5</f>
        <v>-3.3326740506329118E-2</v>
      </c>
      <c r="V24" s="380">
        <f t="shared" ref="V24" si="73">V23/V$5</f>
        <v>1.2719986060289248E-2</v>
      </c>
    </row>
    <row r="25" spans="1:29" ht="13.5" thickBot="1" x14ac:dyDescent="0.25">
      <c r="B25" s="35"/>
      <c r="C25" s="35"/>
      <c r="D25" s="35"/>
      <c r="E25" s="35"/>
      <c r="F25" s="318"/>
      <c r="G25" s="35"/>
      <c r="H25" s="317"/>
      <c r="I25" s="318"/>
      <c r="K25" s="36"/>
      <c r="L25" s="35"/>
      <c r="M25" s="86"/>
      <c r="N25" s="87"/>
      <c r="O25" s="87"/>
      <c r="P25" s="87"/>
      <c r="Q25" s="87"/>
      <c r="R25" s="87"/>
      <c r="S25" s="87"/>
      <c r="T25" s="87"/>
      <c r="U25" s="87"/>
      <c r="V25" s="87"/>
    </row>
    <row r="26" spans="1:29" ht="5.25" customHeight="1" x14ac:dyDescent="0.2">
      <c r="M26" s="88"/>
      <c r="N26" s="88"/>
      <c r="O26" s="88"/>
      <c r="P26" s="88"/>
      <c r="Q26" s="88"/>
      <c r="R26" s="88"/>
      <c r="S26" s="88"/>
      <c r="T26" s="88"/>
      <c r="U26" s="88"/>
      <c r="V26" s="88"/>
    </row>
    <row r="27" spans="1:29" ht="38.25" customHeight="1" x14ac:dyDescent="0.4">
      <c r="A27" s="16"/>
      <c r="B27" s="41" t="s">
        <v>287</v>
      </c>
      <c r="C27" s="185"/>
      <c r="D27" s="185"/>
      <c r="E27" s="185"/>
      <c r="F27" s="319"/>
      <c r="G27" s="185"/>
      <c r="H27" s="319"/>
      <c r="I27" s="319"/>
      <c r="J27" s="287"/>
      <c r="K27" s="41"/>
      <c r="L27" s="41"/>
      <c r="M27" s="56"/>
      <c r="N27" s="56"/>
      <c r="O27" s="56"/>
      <c r="P27" s="56"/>
      <c r="Q27" s="56"/>
      <c r="R27" s="56"/>
      <c r="S27" s="56"/>
      <c r="T27" s="56"/>
      <c r="U27" s="56"/>
      <c r="V27" s="56"/>
      <c r="W27" s="43"/>
      <c r="X27" s="43"/>
      <c r="Y27" s="43"/>
      <c r="Z27" s="43"/>
      <c r="AA27" s="43"/>
      <c r="AB27" s="43"/>
      <c r="AC27" s="43"/>
    </row>
    <row r="28" spans="1:29" ht="13.5" thickBot="1" x14ac:dyDescent="0.25">
      <c r="B28" s="44"/>
      <c r="C28" s="44"/>
      <c r="D28" s="44"/>
      <c r="E28" s="44"/>
      <c r="F28" s="320"/>
      <c r="G28" s="44"/>
      <c r="H28" s="320"/>
      <c r="I28" s="320"/>
      <c r="J28" s="288"/>
      <c r="K28" s="44"/>
      <c r="L28" s="44"/>
      <c r="M28" s="57"/>
      <c r="N28" s="58"/>
      <c r="O28" s="58"/>
      <c r="P28" s="58"/>
      <c r="Q28" s="58"/>
      <c r="R28" s="58"/>
      <c r="S28" s="58"/>
      <c r="T28" s="58"/>
      <c r="U28" s="57"/>
      <c r="V28" s="58"/>
      <c r="W28" s="43"/>
      <c r="X28" s="43"/>
      <c r="Y28" s="43"/>
      <c r="Z28" s="43"/>
      <c r="AA28" s="43"/>
      <c r="AB28" s="43"/>
      <c r="AC28" s="43"/>
    </row>
    <row r="29" spans="1:29" s="9" customFormat="1" ht="27.75" customHeight="1" thickBot="1" x14ac:dyDescent="0.25">
      <c r="B29" s="198" t="s">
        <v>44</v>
      </c>
      <c r="C29" s="203">
        <f>C3</f>
        <v>2023</v>
      </c>
      <c r="D29" s="203">
        <v>2022</v>
      </c>
      <c r="E29" s="203">
        <v>2021</v>
      </c>
      <c r="F29" s="203" t="s">
        <v>343</v>
      </c>
      <c r="G29" s="203">
        <v>2020</v>
      </c>
      <c r="H29" s="280" t="s">
        <v>299</v>
      </c>
      <c r="I29" s="280" t="s">
        <v>300</v>
      </c>
      <c r="J29" s="283"/>
      <c r="K29" s="203" t="s">
        <v>301</v>
      </c>
      <c r="L29" s="203" t="s">
        <v>302</v>
      </c>
      <c r="M29" s="203" t="s">
        <v>10</v>
      </c>
      <c r="N29" s="203">
        <v>2016</v>
      </c>
      <c r="O29" s="203">
        <v>2015</v>
      </c>
      <c r="P29" s="203">
        <v>2014</v>
      </c>
      <c r="Q29" s="203" t="s">
        <v>8</v>
      </c>
      <c r="R29" s="203" t="s">
        <v>7</v>
      </c>
      <c r="S29" s="203" t="s">
        <v>6</v>
      </c>
      <c r="T29" s="203" t="s">
        <v>5</v>
      </c>
      <c r="U29" s="203" t="s">
        <v>2</v>
      </c>
      <c r="V29" s="203" t="s">
        <v>3</v>
      </c>
    </row>
    <row r="30" spans="1:29" s="9" customFormat="1" ht="15.75" x14ac:dyDescent="0.2">
      <c r="B30" s="33"/>
      <c r="C30" s="462"/>
      <c r="D30" s="33"/>
      <c r="E30" s="33"/>
      <c r="F30" s="33"/>
      <c r="G30" s="33"/>
      <c r="H30" s="34"/>
      <c r="I30" s="34"/>
      <c r="J30" s="34"/>
      <c r="K30" s="34"/>
      <c r="L30" s="34"/>
      <c r="M30" s="82"/>
      <c r="N30" s="82"/>
      <c r="O30" s="82"/>
      <c r="P30" s="82"/>
      <c r="Q30" s="82"/>
      <c r="R30" s="82"/>
      <c r="S30" s="82"/>
      <c r="T30" s="82"/>
      <c r="U30" s="82"/>
      <c r="V30" s="82"/>
    </row>
    <row r="31" spans="1:29" s="48" customFormat="1" ht="18.75" customHeight="1" x14ac:dyDescent="0.2">
      <c r="B31" s="47" t="s">
        <v>12</v>
      </c>
      <c r="C31" s="61">
        <v>1024.7</v>
      </c>
      <c r="D31" s="61">
        <v>1076.7449999999999</v>
      </c>
      <c r="E31" s="61">
        <f>E5</f>
        <v>969.58399999999995</v>
      </c>
      <c r="F31" s="321">
        <v>780.3</v>
      </c>
      <c r="G31" s="61">
        <v>780.3</v>
      </c>
      <c r="H31" s="321">
        <v>939</v>
      </c>
      <c r="I31" s="321">
        <v>910.7</v>
      </c>
      <c r="J31" s="289"/>
      <c r="K31" s="61">
        <v>964.7</v>
      </c>
      <c r="L31" s="61">
        <v>962.86099999999999</v>
      </c>
      <c r="M31" s="61">
        <v>1035.4000000000001</v>
      </c>
      <c r="N31" s="61">
        <v>1252.9000000000001</v>
      </c>
      <c r="O31" s="61">
        <v>1279</v>
      </c>
      <c r="P31" s="61">
        <v>1178.7</v>
      </c>
      <c r="Q31" s="61">
        <v>1121.5</v>
      </c>
      <c r="R31" s="61">
        <v>1175.2919999999999</v>
      </c>
      <c r="S31" s="61">
        <v>1101.8820000000001</v>
      </c>
      <c r="T31" s="61">
        <v>1079.9000000000001</v>
      </c>
      <c r="U31" s="61">
        <v>1011.236</v>
      </c>
      <c r="V31" s="61">
        <v>1147.8</v>
      </c>
    </row>
    <row r="32" spans="1:29" s="43" customFormat="1" x14ac:dyDescent="0.2">
      <c r="C32" s="184"/>
      <c r="D32" s="184"/>
      <c r="E32" s="184"/>
      <c r="F32" s="322"/>
      <c r="G32" s="184"/>
      <c r="H32" s="322"/>
      <c r="I32" s="323"/>
      <c r="J32" s="290"/>
      <c r="L32" s="58"/>
      <c r="M32" s="58"/>
      <c r="N32" s="58"/>
      <c r="O32" s="58"/>
      <c r="P32" s="58"/>
      <c r="Q32" s="58"/>
      <c r="R32" s="58"/>
      <c r="S32" s="58"/>
      <c r="T32" s="58"/>
      <c r="U32" s="58"/>
      <c r="V32" s="58"/>
    </row>
    <row r="33" spans="1:29" s="43" customFormat="1" x14ac:dyDescent="0.2">
      <c r="B33" s="49" t="s">
        <v>45</v>
      </c>
      <c r="C33" s="324">
        <f>C35-C31</f>
        <v>-438.96500000000003</v>
      </c>
      <c r="D33" s="324">
        <f>D35-D31</f>
        <v>-479.29499999999985</v>
      </c>
      <c r="E33" s="324">
        <f>E35-E31</f>
        <v>-467.82399999999996</v>
      </c>
      <c r="F33" s="324">
        <v>-417.8</v>
      </c>
      <c r="G33" s="60">
        <v>-417.8</v>
      </c>
      <c r="H33" s="324">
        <v>-462.149</v>
      </c>
      <c r="I33" s="324">
        <v>-457.5</v>
      </c>
      <c r="J33" s="291"/>
      <c r="K33" s="60">
        <v>-477.4</v>
      </c>
      <c r="L33" s="60">
        <v>-481.34100000000001</v>
      </c>
      <c r="M33" s="60">
        <f>M35-M31</f>
        <v>-515.85000000000014</v>
      </c>
      <c r="N33" s="60">
        <v>-537.29999999999995</v>
      </c>
      <c r="O33" s="60">
        <v>-522</v>
      </c>
      <c r="P33" s="60">
        <v>-460.1</v>
      </c>
      <c r="Q33" s="60">
        <v>-437.8</v>
      </c>
      <c r="R33" s="60">
        <v>-495.62099999999998</v>
      </c>
      <c r="S33" s="60">
        <v>-449.596</v>
      </c>
      <c r="T33" s="60">
        <v>-450</v>
      </c>
      <c r="U33" s="60">
        <v>-438.75200000000001</v>
      </c>
      <c r="V33" s="60">
        <v>-484.9</v>
      </c>
    </row>
    <row r="34" spans="1:29" s="43" customFormat="1" x14ac:dyDescent="0.2">
      <c r="C34" s="184"/>
      <c r="D34" s="184"/>
      <c r="E34" s="184"/>
      <c r="F34" s="322"/>
      <c r="G34" s="184"/>
      <c r="H34" s="322"/>
      <c r="I34" s="323"/>
      <c r="J34" s="290"/>
      <c r="L34" s="58"/>
      <c r="M34" s="58"/>
      <c r="N34" s="58"/>
      <c r="O34" s="58"/>
      <c r="P34" s="58"/>
      <c r="Q34" s="58"/>
      <c r="R34" s="58"/>
      <c r="S34" s="58"/>
      <c r="T34" s="58"/>
      <c r="U34" s="58"/>
      <c r="V34" s="58"/>
    </row>
    <row r="35" spans="1:29" s="48" customFormat="1" x14ac:dyDescent="0.2">
      <c r="B35" s="47" t="s">
        <v>46</v>
      </c>
      <c r="C35" s="68">
        <v>585.73500000000001</v>
      </c>
      <c r="D35" s="68">
        <v>597.45000000000005</v>
      </c>
      <c r="E35" s="68">
        <f>E6</f>
        <v>501.76</v>
      </c>
      <c r="F35" s="327">
        <v>362.5</v>
      </c>
      <c r="G35" s="64">
        <v>362.5</v>
      </c>
      <c r="H35" s="321">
        <v>476.9</v>
      </c>
      <c r="I35" s="321">
        <v>453.2</v>
      </c>
      <c r="J35" s="289"/>
      <c r="K35" s="61">
        <v>487.3</v>
      </c>
      <c r="L35" s="61">
        <v>481.52</v>
      </c>
      <c r="M35" s="61">
        <v>519.54999999999995</v>
      </c>
      <c r="N35" s="61">
        <v>715.6</v>
      </c>
      <c r="O35" s="61">
        <f t="shared" ref="O35:U35" si="74">+SUM(O31:O33)</f>
        <v>757</v>
      </c>
      <c r="P35" s="61">
        <f t="shared" si="74"/>
        <v>718.6</v>
      </c>
      <c r="Q35" s="61">
        <f t="shared" si="74"/>
        <v>683.7</v>
      </c>
      <c r="R35" s="61">
        <f t="shared" si="74"/>
        <v>679.67099999999994</v>
      </c>
      <c r="S35" s="61">
        <f t="shared" si="74"/>
        <v>652.28600000000006</v>
      </c>
      <c r="T35" s="61">
        <f t="shared" si="74"/>
        <v>629.90000000000009</v>
      </c>
      <c r="U35" s="61">
        <f t="shared" si="74"/>
        <v>572.48399999999992</v>
      </c>
      <c r="V35" s="68">
        <v>663</v>
      </c>
    </row>
    <row r="36" spans="1:29" s="43" customFormat="1" x14ac:dyDescent="0.2">
      <c r="C36" s="184"/>
      <c r="D36" s="184"/>
      <c r="E36" s="184"/>
      <c r="F36" s="322"/>
      <c r="G36" s="184"/>
      <c r="H36" s="322"/>
      <c r="I36" s="323"/>
      <c r="J36" s="290"/>
      <c r="L36" s="58"/>
      <c r="M36" s="58"/>
      <c r="N36" s="58"/>
      <c r="O36" s="58"/>
      <c r="P36" s="58"/>
      <c r="Q36" s="58"/>
      <c r="R36" s="58"/>
      <c r="S36" s="58"/>
      <c r="T36" s="58"/>
      <c r="U36" s="58"/>
      <c r="V36" s="58"/>
    </row>
    <row r="37" spans="1:29" s="43" customFormat="1" x14ac:dyDescent="0.2">
      <c r="B37" s="49" t="s">
        <v>47</v>
      </c>
      <c r="C37" s="60">
        <v>-428.8</v>
      </c>
      <c r="D37" s="60">
        <v>-420.488</v>
      </c>
      <c r="E37" s="60">
        <v>-363.03300000000002</v>
      </c>
      <c r="F37" s="324">
        <v>-311.89999999999998</v>
      </c>
      <c r="G37" s="60">
        <v>-311.89999999999998</v>
      </c>
      <c r="H37" s="324">
        <v>-367.024</v>
      </c>
      <c r="I37" s="324">
        <v>-353.15800000000002</v>
      </c>
      <c r="J37" s="292"/>
      <c r="K37" s="60">
        <v>-382</v>
      </c>
      <c r="L37" s="60">
        <v>-386.25700000000001</v>
      </c>
      <c r="M37" s="60">
        <v>-415.49099999999999</v>
      </c>
      <c r="N37" s="60">
        <v>-512.79999999999995</v>
      </c>
      <c r="O37" s="60">
        <v>-526.5</v>
      </c>
      <c r="P37" s="60">
        <v>-479.4</v>
      </c>
      <c r="Q37" s="60">
        <v>-451.8</v>
      </c>
      <c r="R37" s="60">
        <v>-461.86599999999999</v>
      </c>
      <c r="S37" s="60">
        <v>-434.10300000000001</v>
      </c>
      <c r="T37" s="60">
        <v>-428.3</v>
      </c>
      <c r="U37" s="60">
        <v>-427.27100000000002</v>
      </c>
      <c r="V37" s="60">
        <v>-446.1</v>
      </c>
    </row>
    <row r="38" spans="1:29" s="43" customFormat="1" x14ac:dyDescent="0.2">
      <c r="B38" s="49" t="s">
        <v>48</v>
      </c>
      <c r="C38" s="60">
        <v>-138.08000000000001</v>
      </c>
      <c r="D38" s="60">
        <v>-128.42599999999999</v>
      </c>
      <c r="E38" s="60">
        <v>-119.55200000000001</v>
      </c>
      <c r="F38" s="324">
        <v>-117.595</v>
      </c>
      <c r="G38" s="60">
        <v>-114</v>
      </c>
      <c r="H38" s="324">
        <v>-120.699</v>
      </c>
      <c r="I38" s="324">
        <v>-126.999</v>
      </c>
      <c r="J38" s="292"/>
      <c r="K38" s="60">
        <v>-124.1</v>
      </c>
      <c r="L38" s="60">
        <v>-135.52500000000001</v>
      </c>
      <c r="M38" s="60">
        <v>-153.386</v>
      </c>
      <c r="N38" s="60">
        <v>-167.8</v>
      </c>
      <c r="O38" s="60">
        <v>-171.5</v>
      </c>
      <c r="P38" s="60">
        <v>-157.5</v>
      </c>
      <c r="Q38" s="60">
        <v>-149</v>
      </c>
      <c r="R38" s="60">
        <v>-148.24100000000001</v>
      </c>
      <c r="S38" s="60">
        <v>-132.46899999999999</v>
      </c>
      <c r="T38" s="60">
        <v>-136</v>
      </c>
      <c r="U38" s="60">
        <v>-131.40199999999999</v>
      </c>
      <c r="V38" s="60">
        <v>-131.80000000000001</v>
      </c>
    </row>
    <row r="39" spans="1:29" s="43" customFormat="1" x14ac:dyDescent="0.2">
      <c r="B39" s="49" t="s">
        <v>49</v>
      </c>
      <c r="C39" s="60">
        <v>-11.2</v>
      </c>
      <c r="D39" s="60">
        <v>-7.8E-2</v>
      </c>
      <c r="E39" s="60">
        <v>6.9</v>
      </c>
      <c r="F39" s="324">
        <v>-16.399999999999999</v>
      </c>
      <c r="G39" s="60">
        <v>-16.399999999999999</v>
      </c>
      <c r="H39" s="324">
        <v>-33.847000000000001</v>
      </c>
      <c r="I39" s="324">
        <v>34.534999999999997</v>
      </c>
      <c r="J39" s="292"/>
      <c r="K39" s="60">
        <v>-35.1</v>
      </c>
      <c r="L39" s="60">
        <v>34.371000000000002</v>
      </c>
      <c r="M39" s="60">
        <v>33.152000000000001</v>
      </c>
      <c r="N39" s="60">
        <v>-1.3</v>
      </c>
      <c r="O39" s="60">
        <v>-17.7</v>
      </c>
      <c r="P39" s="60">
        <v>-6.4</v>
      </c>
      <c r="Q39" s="60">
        <v>-8.1</v>
      </c>
      <c r="R39" s="60">
        <v>4.3120000000000003</v>
      </c>
      <c r="S39" s="60">
        <v>0.47299999999999998</v>
      </c>
      <c r="T39" s="60">
        <v>2.2000000000000002</v>
      </c>
      <c r="U39" s="60">
        <v>2.33</v>
      </c>
      <c r="V39" s="60">
        <v>1.3</v>
      </c>
    </row>
    <row r="40" spans="1:29" s="43" customFormat="1" ht="13.5" customHeight="1" x14ac:dyDescent="0.2">
      <c r="B40" s="50" t="s">
        <v>50</v>
      </c>
      <c r="C40" s="50"/>
      <c r="D40" s="50"/>
      <c r="E40" s="50"/>
      <c r="F40" s="324"/>
      <c r="G40" s="60"/>
      <c r="H40" s="324">
        <v>-227.06200000000001</v>
      </c>
      <c r="I40" s="325"/>
      <c r="J40" s="293"/>
      <c r="K40" s="60">
        <f>-227.1-13.6</f>
        <v>-240.7</v>
      </c>
      <c r="L40" s="79"/>
      <c r="M40" s="60">
        <v>-192</v>
      </c>
      <c r="N40" s="60">
        <v>-150</v>
      </c>
      <c r="O40" s="60">
        <v>-40.5</v>
      </c>
      <c r="P40" s="51"/>
      <c r="Q40" s="51"/>
      <c r="R40" s="51"/>
      <c r="S40" s="60"/>
      <c r="T40" s="60"/>
      <c r="U40" s="60">
        <v>-279.39999999999998</v>
      </c>
      <c r="V40" s="51">
        <v>0</v>
      </c>
    </row>
    <row r="41" spans="1:29" s="43" customFormat="1" x14ac:dyDescent="0.2">
      <c r="C41" s="184"/>
      <c r="D41" s="184"/>
      <c r="E41" s="184"/>
      <c r="F41" s="322"/>
      <c r="G41" s="184"/>
      <c r="H41" s="322"/>
      <c r="I41" s="323"/>
      <c r="J41" s="290"/>
      <c r="L41" s="58"/>
      <c r="M41" s="58"/>
      <c r="N41" s="58"/>
      <c r="O41" s="58"/>
      <c r="P41" s="58"/>
      <c r="Q41" s="58"/>
      <c r="R41" s="58"/>
      <c r="S41" s="58"/>
      <c r="T41" s="58"/>
      <c r="U41" s="58"/>
      <c r="V41" s="58"/>
    </row>
    <row r="42" spans="1:29" s="48" customFormat="1" x14ac:dyDescent="0.2">
      <c r="B42" s="47" t="s">
        <v>14</v>
      </c>
      <c r="C42" s="63">
        <f>SUM(C35:C39)</f>
        <v>7.6549999999999905</v>
      </c>
      <c r="D42" s="63">
        <v>48.457999999999998</v>
      </c>
      <c r="E42" s="63">
        <f>E16</f>
        <v>26.1</v>
      </c>
      <c r="F42" s="326">
        <f>SUM(F35:F39)</f>
        <v>-83.394999999999982</v>
      </c>
      <c r="G42" s="63">
        <v>-79.8</v>
      </c>
      <c r="H42" s="326">
        <v>-271.7</v>
      </c>
      <c r="I42" s="326">
        <v>7.6</v>
      </c>
      <c r="J42" s="294"/>
      <c r="K42" s="63">
        <v>-294.5</v>
      </c>
      <c r="L42" s="63">
        <v>-5.891</v>
      </c>
      <c r="M42" s="63">
        <f>M35+M37+M38+M39+M40</f>
        <v>-208.17500000000001</v>
      </c>
      <c r="N42" s="63">
        <v>-116.3</v>
      </c>
      <c r="O42" s="63">
        <f>+SUM(O35:O40)</f>
        <v>0.79999999999999716</v>
      </c>
      <c r="P42" s="63">
        <f>+SUM(P35:P40)</f>
        <v>75.30000000000004</v>
      </c>
      <c r="Q42" s="63">
        <f>+SUM(Q35:Q40)-0.1</f>
        <v>74.700000000000045</v>
      </c>
      <c r="R42" s="63">
        <f>+SUM(R35:R40)</f>
        <v>73.875999999999934</v>
      </c>
      <c r="S42" s="63">
        <f>+SUM(S35:S40)</f>
        <v>86.187000000000054</v>
      </c>
      <c r="T42" s="63">
        <f>+SUM(T35:T40)</f>
        <v>67.800000000000082</v>
      </c>
      <c r="U42" s="63">
        <v>-270.68100000000004</v>
      </c>
      <c r="V42" s="64">
        <v>86.3</v>
      </c>
    </row>
    <row r="43" spans="1:29" s="187" customFormat="1" x14ac:dyDescent="0.2">
      <c r="B43" s="424"/>
      <c r="D43" s="424"/>
      <c r="E43" s="182"/>
      <c r="F43" s="294"/>
      <c r="G43" s="182"/>
      <c r="H43" s="294"/>
      <c r="I43" s="294"/>
      <c r="J43" s="294"/>
      <c r="K43" s="182"/>
      <c r="L43" s="182"/>
      <c r="M43" s="182"/>
      <c r="N43" s="182"/>
      <c r="O43" s="182"/>
      <c r="P43" s="182"/>
      <c r="Q43" s="182"/>
      <c r="R43" s="182"/>
      <c r="S43" s="182"/>
      <c r="T43" s="182"/>
      <c r="U43" s="182"/>
      <c r="V43" s="77"/>
    </row>
    <row r="44" spans="1:29" s="184" customFormat="1" x14ac:dyDescent="0.2">
      <c r="B44" s="49" t="s">
        <v>313</v>
      </c>
      <c r="C44" s="60">
        <v>-19.222999999999999</v>
      </c>
      <c r="D44" s="60">
        <v>31.190999999999999</v>
      </c>
      <c r="E44" s="60">
        <v>32.249000000000002</v>
      </c>
      <c r="F44" s="324">
        <v>19.8</v>
      </c>
      <c r="G44" s="60">
        <v>19.8</v>
      </c>
      <c r="H44" s="324"/>
      <c r="I44" s="324"/>
      <c r="J44" s="292"/>
      <c r="K44" s="60"/>
      <c r="L44" s="60"/>
      <c r="M44" s="60"/>
      <c r="N44" s="60"/>
      <c r="O44" s="60"/>
      <c r="P44" s="60"/>
      <c r="Q44" s="60"/>
      <c r="R44" s="60"/>
      <c r="S44" s="60"/>
      <c r="T44" s="60"/>
      <c r="U44" s="60"/>
      <c r="V44" s="60"/>
    </row>
    <row r="45" spans="1:29" s="43" customFormat="1" x14ac:dyDescent="0.2">
      <c r="B45" s="49" t="s">
        <v>51</v>
      </c>
      <c r="C45" s="60">
        <v>-7.8949999999999996</v>
      </c>
      <c r="D45" s="60">
        <v>-15.512</v>
      </c>
      <c r="E45" s="60">
        <v>-23.5</v>
      </c>
      <c r="F45" s="324">
        <v>-24.1</v>
      </c>
      <c r="G45" s="60">
        <v>-24.1</v>
      </c>
      <c r="H45" s="324">
        <v>-7.3040000000000003</v>
      </c>
      <c r="I45" s="324">
        <v>-13.833</v>
      </c>
      <c r="J45" s="292"/>
      <c r="K45" s="60">
        <v>-9.4</v>
      </c>
      <c r="L45" s="60">
        <v>-17.341999999999999</v>
      </c>
      <c r="M45" s="60">
        <v>-13.996</v>
      </c>
      <c r="N45" s="60">
        <v>-6.4</v>
      </c>
      <c r="O45" s="60">
        <v>-26.4</v>
      </c>
      <c r="P45" s="60">
        <v>-10.4</v>
      </c>
      <c r="Q45" s="60">
        <v>-24.7</v>
      </c>
      <c r="R45" s="60">
        <v>-29.341999999999999</v>
      </c>
      <c r="S45" s="60">
        <v>-34.039000000000001</v>
      </c>
      <c r="T45" s="60">
        <v>-39.555</v>
      </c>
      <c r="U45" s="60">
        <v>-53.896999999999998</v>
      </c>
      <c r="V45" s="60">
        <v>-56.9</v>
      </c>
    </row>
    <row r="46" spans="1:29" s="43" customFormat="1" x14ac:dyDescent="0.2">
      <c r="C46" s="184"/>
      <c r="D46" s="184"/>
      <c r="E46" s="184"/>
      <c r="F46" s="322"/>
      <c r="G46" s="184"/>
      <c r="H46" s="322"/>
      <c r="I46" s="323"/>
      <c r="J46" s="290"/>
      <c r="L46" s="58"/>
      <c r="M46" s="58"/>
      <c r="N46" s="58"/>
      <c r="O46" s="58"/>
      <c r="P46" s="58"/>
      <c r="Q46" s="58"/>
      <c r="R46" s="58"/>
      <c r="S46" s="58"/>
      <c r="T46" s="58"/>
      <c r="U46" s="58"/>
      <c r="V46" s="58"/>
    </row>
    <row r="47" spans="1:29" s="48" customFormat="1" x14ac:dyDescent="0.2">
      <c r="A47" s="187"/>
      <c r="B47" s="47" t="s">
        <v>52</v>
      </c>
      <c r="C47" s="63">
        <f>SUM(C42:C45)</f>
        <v>-19.463000000000008</v>
      </c>
      <c r="D47" s="63">
        <f>SUM(D42:D45)</f>
        <v>64.137</v>
      </c>
      <c r="E47" s="63">
        <v>34.849000000000004</v>
      </c>
      <c r="F47" s="326">
        <v>-87.694999999999979</v>
      </c>
      <c r="G47" s="63">
        <v>-84.1</v>
      </c>
      <c r="H47" s="326">
        <v>-279.04599999999999</v>
      </c>
      <c r="I47" s="326">
        <v>-6.24</v>
      </c>
      <c r="J47" s="294"/>
      <c r="K47" s="63">
        <v>-303.89999999999998</v>
      </c>
      <c r="L47" s="63">
        <v>-23.232999999999997</v>
      </c>
      <c r="M47" s="63">
        <v>-222.17100000000002</v>
      </c>
      <c r="N47" s="63">
        <v>-122.6</v>
      </c>
      <c r="O47" s="63">
        <v>-25.6</v>
      </c>
      <c r="P47" s="63">
        <v>64.900000000000034</v>
      </c>
      <c r="Q47" s="63">
        <v>50.1</v>
      </c>
      <c r="R47" s="63">
        <v>44.533999999999935</v>
      </c>
      <c r="S47" s="63">
        <v>52.148000000000053</v>
      </c>
      <c r="T47" s="63">
        <v>28.245000000000083</v>
      </c>
      <c r="U47" s="63">
        <v>-324.57800000000003</v>
      </c>
      <c r="V47" s="64">
        <v>29.4</v>
      </c>
      <c r="W47" s="187"/>
      <c r="X47" s="187"/>
      <c r="Y47" s="187"/>
      <c r="Z47" s="187"/>
      <c r="AA47" s="187"/>
      <c r="AB47" s="187"/>
      <c r="AC47" s="187"/>
    </row>
    <row r="48" spans="1:29" s="43" customFormat="1" x14ac:dyDescent="0.2">
      <c r="C48" s="184"/>
      <c r="D48" s="184"/>
      <c r="E48" s="184"/>
      <c r="F48" s="322"/>
      <c r="G48" s="184"/>
      <c r="H48" s="322"/>
      <c r="I48" s="323"/>
      <c r="J48" s="290"/>
      <c r="L48" s="58"/>
      <c r="M48" s="58"/>
      <c r="N48" s="58"/>
      <c r="O48" s="58"/>
      <c r="P48" s="58"/>
      <c r="Q48" s="58"/>
      <c r="R48" s="58"/>
      <c r="S48" s="58"/>
      <c r="T48" s="58"/>
      <c r="U48" s="58"/>
      <c r="V48" s="58"/>
    </row>
    <row r="49" spans="1:29" s="43" customFormat="1" x14ac:dyDescent="0.2">
      <c r="B49" s="49" t="s">
        <v>53</v>
      </c>
      <c r="C49" s="60">
        <v>-6.633</v>
      </c>
      <c r="D49" s="60">
        <v>-11.788</v>
      </c>
      <c r="E49" s="60">
        <v>-14.795</v>
      </c>
      <c r="F49" s="324">
        <v>14.4</v>
      </c>
      <c r="G49" s="60">
        <v>14.4</v>
      </c>
      <c r="H49" s="324">
        <v>-22.940999999999999</v>
      </c>
      <c r="I49" s="324">
        <v>-13.512</v>
      </c>
      <c r="J49" s="292"/>
      <c r="K49" s="60">
        <v>-24.4</v>
      </c>
      <c r="L49" s="60">
        <v>-9.2129999999999992</v>
      </c>
      <c r="M49" s="60">
        <v>-29.396000000000001</v>
      </c>
      <c r="N49" s="60">
        <v>-19.5</v>
      </c>
      <c r="O49" s="60">
        <v>-26.9</v>
      </c>
      <c r="P49" s="60">
        <v>-25.4</v>
      </c>
      <c r="Q49" s="60">
        <v>-34.1</v>
      </c>
      <c r="R49" s="60">
        <v>-17.436</v>
      </c>
      <c r="S49" s="60">
        <v>-20.117999999999999</v>
      </c>
      <c r="T49" s="60">
        <f>-4.8-19.4</f>
        <v>-24.2</v>
      </c>
      <c r="U49" s="60">
        <v>-26.222999999999999</v>
      </c>
      <c r="V49" s="60">
        <f>-12-37.9</f>
        <v>-49.9</v>
      </c>
    </row>
    <row r="50" spans="1:29" s="43" customFormat="1" x14ac:dyDescent="0.2">
      <c r="B50" s="49" t="s">
        <v>54</v>
      </c>
      <c r="C50" s="60">
        <v>-1.44</v>
      </c>
      <c r="D50" s="60">
        <v>-1.8109999999999999</v>
      </c>
      <c r="E50" s="60">
        <v>-1.246</v>
      </c>
      <c r="F50" s="324">
        <v>-0.3</v>
      </c>
      <c r="G50" s="60">
        <v>-0.3</v>
      </c>
      <c r="H50" s="322"/>
      <c r="I50" s="325"/>
      <c r="J50" s="293"/>
      <c r="K50" s="60"/>
      <c r="L50" s="62"/>
      <c r="M50" s="62"/>
      <c r="N50" s="62"/>
      <c r="O50" s="60">
        <v>0.3</v>
      </c>
      <c r="P50" s="60">
        <v>0.4</v>
      </c>
      <c r="Q50" s="60">
        <v>0.5</v>
      </c>
      <c r="R50" s="60">
        <v>0.73599999999999999</v>
      </c>
      <c r="S50" s="60">
        <v>3.2040000000000002</v>
      </c>
      <c r="T50" s="60">
        <v>3.8</v>
      </c>
      <c r="U50" s="60">
        <v>0.65900000000000003</v>
      </c>
      <c r="V50" s="60">
        <v>2.8</v>
      </c>
    </row>
    <row r="51" spans="1:29" s="43" customFormat="1" x14ac:dyDescent="0.2">
      <c r="B51" s="52"/>
      <c r="C51" s="184"/>
      <c r="D51" s="52"/>
      <c r="E51" s="52"/>
      <c r="F51" s="299"/>
      <c r="G51" s="52"/>
      <c r="H51" s="299"/>
      <c r="I51" s="323"/>
      <c r="J51" s="290"/>
      <c r="K51" s="52"/>
      <c r="L51" s="58"/>
      <c r="M51" s="58"/>
      <c r="N51" s="58"/>
      <c r="O51" s="58"/>
      <c r="P51" s="58"/>
      <c r="Q51" s="58"/>
      <c r="R51" s="58"/>
      <c r="S51" s="58"/>
      <c r="T51" s="58"/>
      <c r="U51" s="58"/>
      <c r="V51" s="58"/>
    </row>
    <row r="52" spans="1:29" s="48" customFormat="1" x14ac:dyDescent="0.2">
      <c r="B52" s="47" t="s">
        <v>55</v>
      </c>
      <c r="C52" s="63">
        <v>-24.6</v>
      </c>
      <c r="D52" s="63">
        <f>D47+D49-D50</f>
        <v>54.160000000000004</v>
      </c>
      <c r="E52" s="63">
        <f>E47+E49-E50</f>
        <v>21.3</v>
      </c>
      <c r="F52" s="326">
        <f>F47+F49-F50</f>
        <v>-72.994999999999976</v>
      </c>
      <c r="G52" s="63">
        <v>-69.400000000000006</v>
      </c>
      <c r="H52" s="326">
        <v>-301.89999999999998</v>
      </c>
      <c r="I52" s="326">
        <v>-19.8</v>
      </c>
      <c r="J52" s="294"/>
      <c r="K52" s="63">
        <v>-328.3</v>
      </c>
      <c r="L52" s="63">
        <v>-32.445999999999998</v>
      </c>
      <c r="M52" s="63">
        <f>M47+M49</f>
        <v>-251.56700000000001</v>
      </c>
      <c r="N52" s="63">
        <v>-142.1</v>
      </c>
      <c r="O52" s="63">
        <f>+O49+O47-O50+0.1</f>
        <v>-52.699999999999996</v>
      </c>
      <c r="P52" s="63">
        <f>+P49+P47-P50</f>
        <v>39.100000000000037</v>
      </c>
      <c r="Q52" s="63">
        <f>+Q49+Q47-Q50</f>
        <v>15.5</v>
      </c>
      <c r="R52" s="63">
        <f>+R49+R47-R50</f>
        <v>26.361999999999934</v>
      </c>
      <c r="S52" s="63">
        <f>+S49+S47-S50</f>
        <v>28.826000000000057</v>
      </c>
      <c r="T52" s="63">
        <f>+T49+T47-T50</f>
        <v>0.2450000000000836</v>
      </c>
      <c r="U52" s="63">
        <v>-351.46000000000004</v>
      </c>
      <c r="V52" s="63">
        <f>+V49+V47-V50</f>
        <v>-23.3</v>
      </c>
    </row>
    <row r="53" spans="1:29" s="43" customFormat="1" x14ac:dyDescent="0.2">
      <c r="C53" s="184"/>
      <c r="D53" s="184"/>
      <c r="E53" s="184"/>
      <c r="F53" s="322"/>
      <c r="G53" s="184"/>
      <c r="H53" s="322"/>
      <c r="I53" s="323"/>
      <c r="J53" s="290"/>
      <c r="L53" s="58"/>
      <c r="M53" s="58"/>
      <c r="N53" s="58"/>
      <c r="O53" s="58"/>
      <c r="P53" s="58"/>
      <c r="Q53" s="58"/>
      <c r="R53" s="58"/>
      <c r="S53" s="58"/>
      <c r="T53" s="58"/>
      <c r="U53" s="58"/>
      <c r="V53" s="58"/>
    </row>
    <row r="54" spans="1:29" s="43" customFormat="1" x14ac:dyDescent="0.2">
      <c r="C54" s="184"/>
      <c r="D54" s="184"/>
      <c r="E54" s="184"/>
      <c r="F54" s="322"/>
      <c r="G54" s="184"/>
      <c r="H54" s="322"/>
      <c r="I54" s="323"/>
      <c r="J54" s="290"/>
      <c r="L54" s="58"/>
      <c r="M54" s="58"/>
      <c r="N54" s="58"/>
      <c r="O54" s="58"/>
      <c r="P54" s="58"/>
      <c r="Q54" s="58"/>
      <c r="R54" s="58"/>
      <c r="S54" s="58"/>
      <c r="T54" s="58"/>
      <c r="U54" s="58"/>
      <c r="V54" s="58"/>
    </row>
    <row r="55" spans="1:29" s="48" customFormat="1" x14ac:dyDescent="0.2">
      <c r="B55" s="47" t="s">
        <v>0</v>
      </c>
      <c r="C55" s="68">
        <f>C11</f>
        <v>62.9</v>
      </c>
      <c r="D55" s="68">
        <f>D11</f>
        <v>96.8</v>
      </c>
      <c r="E55" s="68">
        <f>E11</f>
        <v>79.3</v>
      </c>
      <c r="F55" s="391">
        <f>F11</f>
        <v>-24</v>
      </c>
      <c r="G55" s="68">
        <v>-20.100000000000001</v>
      </c>
      <c r="H55" s="327">
        <v>26.1</v>
      </c>
      <c r="I55" s="327">
        <v>51.5</v>
      </c>
      <c r="J55" s="295"/>
      <c r="K55" s="68">
        <v>23</v>
      </c>
      <c r="L55" s="64">
        <v>41.738999999999997</v>
      </c>
      <c r="M55" s="64">
        <v>25.9</v>
      </c>
      <c r="N55" s="64">
        <v>80.900000000000006</v>
      </c>
      <c r="O55" s="64">
        <v>82.4</v>
      </c>
      <c r="P55" s="64">
        <v>110.7</v>
      </c>
      <c r="Q55" s="64">
        <v>111.7</v>
      </c>
      <c r="R55" s="64">
        <v>115.1</v>
      </c>
      <c r="S55" s="64">
        <v>122.6</v>
      </c>
      <c r="T55" s="64">
        <v>107.8</v>
      </c>
      <c r="U55" s="64">
        <v>58.2</v>
      </c>
      <c r="V55" s="64">
        <v>126.3</v>
      </c>
    </row>
    <row r="56" spans="1:29" s="43" customFormat="1" x14ac:dyDescent="0.2">
      <c r="C56" s="184"/>
      <c r="D56" s="184"/>
      <c r="E56" s="184"/>
      <c r="F56" s="322"/>
      <c r="G56" s="184"/>
      <c r="H56" s="322"/>
      <c r="I56" s="323"/>
      <c r="J56" s="290"/>
      <c r="L56" s="65"/>
      <c r="M56" s="58"/>
      <c r="N56" s="58"/>
      <c r="O56" s="58"/>
      <c r="P56" s="58"/>
      <c r="Q56" s="58"/>
      <c r="R56" s="58"/>
      <c r="S56" s="58"/>
      <c r="T56" s="58"/>
      <c r="U56" s="58"/>
      <c r="V56" s="58"/>
    </row>
    <row r="57" spans="1:29" s="48" customFormat="1" x14ac:dyDescent="0.2">
      <c r="B57" s="47" t="s">
        <v>41</v>
      </c>
      <c r="C57" s="78">
        <f>C13</f>
        <v>92</v>
      </c>
      <c r="D57" s="78">
        <f>D13</f>
        <v>101.2</v>
      </c>
      <c r="E57" s="78">
        <f>E13</f>
        <v>81.5</v>
      </c>
      <c r="F57" s="78">
        <f>F13</f>
        <v>-3</v>
      </c>
      <c r="G57" s="78">
        <v>1</v>
      </c>
      <c r="H57" s="78">
        <v>65.400000000000006</v>
      </c>
      <c r="I57" s="78">
        <v>57.3</v>
      </c>
      <c r="J57" s="296"/>
      <c r="K57" s="78">
        <v>63.7</v>
      </c>
      <c r="L57" s="78">
        <v>47.505000000000003</v>
      </c>
      <c r="M57" s="78">
        <v>41.115000000000002</v>
      </c>
      <c r="N57" s="64">
        <v>88.8</v>
      </c>
      <c r="O57" s="64">
        <v>102.4</v>
      </c>
      <c r="P57" s="64">
        <v>118.4</v>
      </c>
      <c r="Q57" s="64">
        <v>121.8</v>
      </c>
      <c r="R57" s="64"/>
      <c r="S57" s="64"/>
      <c r="T57" s="64"/>
      <c r="U57" s="64">
        <v>65.7</v>
      </c>
      <c r="V57" s="64"/>
    </row>
    <row r="58" spans="1:29" s="43" customFormat="1" x14ac:dyDescent="0.2">
      <c r="C58" s="184"/>
      <c r="D58" s="184"/>
      <c r="E58" s="187"/>
      <c r="F58" s="328"/>
      <c r="G58" s="187"/>
      <c r="H58" s="328"/>
      <c r="I58" s="329"/>
      <c r="J58" s="297"/>
      <c r="K58" s="48"/>
      <c r="L58" s="76"/>
      <c r="M58" s="76"/>
      <c r="N58" s="65"/>
      <c r="O58" s="65"/>
      <c r="P58" s="65"/>
      <c r="Q58" s="65"/>
      <c r="R58" s="65"/>
      <c r="S58" s="65"/>
      <c r="T58" s="65"/>
      <c r="U58" s="58"/>
      <c r="V58" s="58"/>
    </row>
    <row r="59" spans="1:29" s="48" customFormat="1" x14ac:dyDescent="0.2">
      <c r="B59" s="47" t="s">
        <v>42</v>
      </c>
      <c r="C59" s="78">
        <f>C18</f>
        <v>49.6</v>
      </c>
      <c r="D59" s="78">
        <f>D18</f>
        <v>53.5</v>
      </c>
      <c r="E59" s="78">
        <f>E18</f>
        <v>32.9</v>
      </c>
      <c r="F59" s="78">
        <f>F18</f>
        <v>-57.9</v>
      </c>
      <c r="G59" s="78">
        <v>-54.3</v>
      </c>
      <c r="H59" s="78">
        <v>3.7</v>
      </c>
      <c r="I59" s="78">
        <v>13.5</v>
      </c>
      <c r="J59" s="296"/>
      <c r="K59" s="78">
        <v>-4.0999999999999996</v>
      </c>
      <c r="L59" s="78">
        <v>4.0000000000000001E-3</v>
      </c>
      <c r="M59" s="78">
        <v>-0.83699999999999997</v>
      </c>
      <c r="N59" s="64">
        <v>43.5</v>
      </c>
      <c r="O59" s="64">
        <v>61.4</v>
      </c>
      <c r="P59" s="64">
        <v>83</v>
      </c>
      <c r="Q59" s="64">
        <v>84.8</v>
      </c>
      <c r="R59" s="64"/>
      <c r="S59" s="64"/>
      <c r="T59" s="64"/>
      <c r="U59" s="64">
        <v>16.100000000000001</v>
      </c>
      <c r="V59" s="64"/>
    </row>
    <row r="60" spans="1:29" s="43" customFormat="1" x14ac:dyDescent="0.2">
      <c r="B60" s="54"/>
      <c r="C60" s="187"/>
      <c r="D60" s="187"/>
      <c r="E60" s="187"/>
      <c r="F60" s="328"/>
      <c r="G60" s="187"/>
      <c r="H60" s="328"/>
      <c r="I60" s="282"/>
      <c r="J60" s="282"/>
      <c r="K60" s="48"/>
      <c r="L60" s="77"/>
      <c r="M60" s="77"/>
      <c r="N60" s="66"/>
      <c r="O60" s="66"/>
      <c r="P60" s="66"/>
      <c r="Q60" s="66"/>
      <c r="R60" s="66"/>
      <c r="S60" s="66"/>
      <c r="T60" s="66"/>
      <c r="U60" s="66"/>
      <c r="V60" s="69"/>
    </row>
    <row r="61" spans="1:29" s="48" customFormat="1" x14ac:dyDescent="0.2">
      <c r="B61" s="47" t="s">
        <v>43</v>
      </c>
      <c r="C61" s="78">
        <f>C23</f>
        <v>14</v>
      </c>
      <c r="D61" s="78">
        <f>D23</f>
        <v>58.3</v>
      </c>
      <c r="E61" s="78">
        <f>E23</f>
        <v>27.4</v>
      </c>
      <c r="F61" s="78">
        <f>F23</f>
        <v>-50.1</v>
      </c>
      <c r="G61" s="78">
        <v>-46.5</v>
      </c>
      <c r="H61" s="78">
        <v>-6</v>
      </c>
      <c r="I61" s="78">
        <v>-14</v>
      </c>
      <c r="J61" s="296"/>
      <c r="K61" s="78">
        <v>-13.7</v>
      </c>
      <c r="L61" s="78">
        <v>-26.724</v>
      </c>
      <c r="M61" s="78">
        <v>-47.067</v>
      </c>
      <c r="N61" s="64">
        <v>15.4</v>
      </c>
      <c r="O61" s="64">
        <v>6.9</v>
      </c>
      <c r="P61" s="64">
        <v>44.5</v>
      </c>
      <c r="Q61" s="64">
        <v>39</v>
      </c>
      <c r="R61" s="64"/>
      <c r="S61" s="64"/>
      <c r="T61" s="64"/>
      <c r="U61" s="64">
        <v>-33.700000000000003</v>
      </c>
      <c r="V61" s="64">
        <v>14.6</v>
      </c>
    </row>
    <row r="62" spans="1:29" x14ac:dyDescent="0.2">
      <c r="B62" s="55"/>
      <c r="C62" s="55"/>
      <c r="D62" s="55"/>
      <c r="E62" s="55"/>
      <c r="F62" s="330"/>
      <c r="G62" s="55"/>
      <c r="H62" s="330"/>
      <c r="I62" s="330"/>
      <c r="J62" s="298"/>
      <c r="K62" s="55"/>
      <c r="L62" s="55"/>
      <c r="M62" s="70"/>
      <c r="N62" s="70"/>
      <c r="O62" s="70"/>
      <c r="P62" s="70"/>
      <c r="Q62" s="70"/>
      <c r="R62" s="70"/>
      <c r="S62" s="70"/>
      <c r="T62" s="70"/>
      <c r="U62" s="71"/>
      <c r="V62" s="72"/>
      <c r="W62" s="43"/>
      <c r="X62" s="43"/>
      <c r="Y62" s="43"/>
      <c r="Z62" s="43"/>
      <c r="AA62" s="43"/>
      <c r="AB62" s="43"/>
      <c r="AC62" s="43"/>
    </row>
    <row r="63" spans="1:29" ht="12" customHeight="1" x14ac:dyDescent="0.2">
      <c r="B63" s="43"/>
      <c r="C63" s="184"/>
      <c r="D63" s="184"/>
      <c r="E63" s="184"/>
      <c r="F63" s="322"/>
      <c r="G63" s="184"/>
      <c r="H63" s="322"/>
      <c r="I63" s="322"/>
      <c r="J63" s="299"/>
      <c r="K63" s="184"/>
      <c r="L63" s="43"/>
      <c r="M63" s="58"/>
      <c r="N63" s="58"/>
      <c r="O63" s="58"/>
      <c r="P63" s="58"/>
      <c r="Q63" s="58"/>
      <c r="R63" s="58"/>
      <c r="S63" s="58"/>
      <c r="T63" s="58"/>
      <c r="U63" s="73"/>
      <c r="V63" s="65"/>
      <c r="W63" s="43"/>
      <c r="X63" s="43"/>
      <c r="Y63" s="43"/>
      <c r="Z63" s="43"/>
      <c r="AA63" s="43"/>
      <c r="AB63" s="43"/>
      <c r="AC63" s="43"/>
    </row>
    <row r="64" spans="1:29" s="19" customFormat="1" ht="28.5" customHeight="1" x14ac:dyDescent="0.2">
      <c r="A64" s="20" t="s">
        <v>344</v>
      </c>
      <c r="B64" s="451" t="s">
        <v>351</v>
      </c>
      <c r="C64" s="451"/>
      <c r="D64" s="451"/>
      <c r="E64" s="451"/>
      <c r="F64" s="451"/>
      <c r="G64" s="451"/>
      <c r="H64" s="452"/>
      <c r="I64" s="452"/>
      <c r="J64" s="452"/>
      <c r="K64" s="452"/>
      <c r="L64" s="452"/>
      <c r="M64" s="453"/>
      <c r="N64" s="453"/>
      <c r="O64" s="453"/>
      <c r="P64" s="26"/>
      <c r="Q64" s="26"/>
      <c r="R64" s="26"/>
      <c r="S64" s="26"/>
      <c r="T64" s="26"/>
      <c r="U64" s="26"/>
      <c r="V64" s="26"/>
    </row>
    <row r="65" spans="1:29" s="19" customFormat="1" ht="28.5" customHeight="1" x14ac:dyDescent="0.2">
      <c r="A65" s="20" t="s">
        <v>39</v>
      </c>
      <c r="B65" s="451" t="s">
        <v>303</v>
      </c>
      <c r="C65" s="451"/>
      <c r="D65" s="451"/>
      <c r="E65" s="451"/>
      <c r="F65" s="451"/>
      <c r="G65" s="451"/>
      <c r="H65" s="452"/>
      <c r="I65" s="452"/>
      <c r="J65" s="452"/>
      <c r="K65" s="452"/>
      <c r="L65" s="452"/>
      <c r="M65" s="453"/>
      <c r="N65" s="453"/>
      <c r="O65" s="453"/>
      <c r="P65" s="26"/>
      <c r="Q65" s="26"/>
      <c r="R65" s="26"/>
      <c r="S65" s="26"/>
      <c r="T65" s="26"/>
      <c r="U65" s="26"/>
      <c r="V65" s="26"/>
    </row>
    <row r="66" spans="1:29" ht="20.25" customHeight="1" x14ac:dyDescent="0.2">
      <c r="A66" s="24" t="s">
        <v>11</v>
      </c>
      <c r="B66" s="452" t="s">
        <v>326</v>
      </c>
      <c r="C66" s="452"/>
      <c r="D66" s="452"/>
      <c r="E66" s="452"/>
      <c r="F66" s="452"/>
      <c r="G66" s="452"/>
      <c r="H66" s="452"/>
      <c r="I66" s="452"/>
      <c r="J66" s="452"/>
      <c r="K66" s="452"/>
      <c r="L66" s="452"/>
      <c r="M66" s="453"/>
      <c r="N66" s="453"/>
      <c r="O66" s="453"/>
      <c r="P66" s="58"/>
      <c r="Q66" s="58"/>
      <c r="R66" s="58"/>
      <c r="S66" s="58"/>
      <c r="T66" s="58"/>
      <c r="U66" s="73"/>
      <c r="V66" s="65"/>
      <c r="W66" s="184"/>
      <c r="X66" s="184"/>
      <c r="Y66" s="184"/>
      <c r="Z66" s="184"/>
      <c r="AA66" s="184"/>
      <c r="AB66" s="184"/>
      <c r="AC66" s="184"/>
    </row>
    <row r="68" spans="1:29" ht="33" customHeight="1" x14ac:dyDescent="0.2">
      <c r="A68" s="442" t="s">
        <v>9</v>
      </c>
      <c r="B68" s="464" t="s">
        <v>377</v>
      </c>
      <c r="C68" s="449"/>
      <c r="D68" s="449"/>
      <c r="E68" s="449"/>
      <c r="F68" s="449"/>
      <c r="G68" s="449"/>
      <c r="H68" s="449"/>
      <c r="I68" s="449"/>
      <c r="J68" s="449"/>
      <c r="K68" s="449"/>
      <c r="L68" s="449"/>
      <c r="M68" s="450"/>
      <c r="N68" s="450"/>
      <c r="O68" s="450"/>
    </row>
    <row r="69" spans="1:29" ht="18.75" customHeight="1" x14ac:dyDescent="0.2">
      <c r="B69" s="449" t="s">
        <v>364</v>
      </c>
      <c r="C69" s="449"/>
      <c r="D69" s="449"/>
      <c r="E69" s="449"/>
      <c r="F69" s="449"/>
      <c r="G69" s="449"/>
      <c r="H69" s="449"/>
      <c r="I69" s="449"/>
      <c r="J69" s="449"/>
      <c r="K69" s="449"/>
      <c r="L69" s="449"/>
      <c r="M69" s="450"/>
      <c r="N69" s="450"/>
      <c r="O69" s="450"/>
    </row>
    <row r="70" spans="1:29" ht="28.5" customHeight="1" x14ac:dyDescent="0.2">
      <c r="A70" s="22"/>
      <c r="B70" s="449" t="s">
        <v>349</v>
      </c>
      <c r="C70" s="449"/>
      <c r="D70" s="449"/>
      <c r="E70" s="449"/>
      <c r="F70" s="449"/>
      <c r="G70" s="449"/>
      <c r="H70" s="449"/>
      <c r="I70" s="449"/>
      <c r="J70" s="449"/>
      <c r="K70" s="449"/>
      <c r="L70" s="449"/>
      <c r="M70" s="450"/>
      <c r="N70" s="450"/>
      <c r="O70" s="450"/>
    </row>
    <row r="71" spans="1:29" ht="27.75" customHeight="1" x14ac:dyDescent="0.2">
      <c r="B71" s="449" t="s">
        <v>348</v>
      </c>
      <c r="C71" s="449"/>
      <c r="D71" s="449"/>
      <c r="E71" s="449"/>
      <c r="F71" s="449"/>
      <c r="G71" s="449"/>
      <c r="H71" s="449"/>
      <c r="I71" s="449"/>
      <c r="J71" s="449"/>
      <c r="K71" s="449"/>
      <c r="L71" s="449"/>
      <c r="M71" s="450"/>
      <c r="N71" s="450"/>
      <c r="O71" s="450"/>
    </row>
    <row r="72" spans="1:29" s="19" customFormat="1" ht="40.5" customHeight="1" x14ac:dyDescent="0.2">
      <c r="B72" s="449" t="s">
        <v>40</v>
      </c>
      <c r="C72" s="449"/>
      <c r="D72" s="449"/>
      <c r="E72" s="449"/>
      <c r="F72" s="449"/>
      <c r="G72" s="449"/>
      <c r="H72" s="449"/>
      <c r="I72" s="449"/>
      <c r="J72" s="449"/>
      <c r="K72" s="449"/>
      <c r="L72" s="449"/>
      <c r="M72" s="450"/>
      <c r="N72" s="450"/>
      <c r="O72" s="450"/>
      <c r="P72" s="26"/>
      <c r="Q72" s="26"/>
      <c r="R72" s="26"/>
      <c r="S72" s="26"/>
      <c r="T72" s="26"/>
      <c r="U72" s="26"/>
      <c r="V72" s="26"/>
    </row>
    <row r="73" spans="1:29" ht="16.5" customHeight="1" x14ac:dyDescent="0.2">
      <c r="B73" s="447" t="s">
        <v>38</v>
      </c>
      <c r="C73" s="447"/>
      <c r="D73" s="447"/>
      <c r="E73" s="447"/>
      <c r="F73" s="447"/>
      <c r="G73" s="447"/>
      <c r="H73" s="447"/>
      <c r="I73" s="447"/>
      <c r="J73" s="447"/>
      <c r="K73" s="447"/>
      <c r="L73" s="447"/>
      <c r="M73" s="448"/>
      <c r="N73" s="448"/>
      <c r="O73" s="448"/>
    </row>
    <row r="74" spans="1:29" ht="27.75" customHeight="1" x14ac:dyDescent="0.2">
      <c r="B74" s="447" t="s">
        <v>27</v>
      </c>
      <c r="C74" s="447"/>
      <c r="D74" s="447"/>
      <c r="E74" s="447"/>
      <c r="F74" s="447"/>
      <c r="G74" s="447"/>
      <c r="H74" s="447"/>
      <c r="I74" s="447"/>
      <c r="J74" s="447"/>
      <c r="K74" s="447"/>
      <c r="L74" s="447"/>
      <c r="M74" s="448"/>
      <c r="N74" s="448"/>
      <c r="O74" s="448"/>
      <c r="P74" s="75"/>
      <c r="Q74" s="75"/>
      <c r="R74" s="75"/>
      <c r="S74" s="75"/>
      <c r="T74" s="75"/>
      <c r="U74" s="75"/>
    </row>
    <row r="75" spans="1:29" ht="39" customHeight="1" x14ac:dyDescent="0.2">
      <c r="A75" s="15"/>
      <c r="B75" s="447" t="s">
        <v>28</v>
      </c>
      <c r="C75" s="447"/>
      <c r="D75" s="447"/>
      <c r="E75" s="447"/>
      <c r="F75" s="447"/>
      <c r="G75" s="447"/>
      <c r="H75" s="447"/>
      <c r="I75" s="447"/>
      <c r="J75" s="447"/>
      <c r="K75" s="447"/>
      <c r="L75" s="447"/>
      <c r="M75" s="448"/>
      <c r="N75" s="448"/>
      <c r="O75" s="448"/>
      <c r="P75" s="75"/>
      <c r="Q75" s="75"/>
      <c r="R75" s="75"/>
      <c r="S75" s="75"/>
      <c r="T75" s="75"/>
      <c r="U75" s="75"/>
    </row>
    <row r="76" spans="1:29" ht="30" customHeight="1" x14ac:dyDescent="0.2">
      <c r="B76" s="447" t="s">
        <v>29</v>
      </c>
      <c r="C76" s="447"/>
      <c r="D76" s="447"/>
      <c r="E76" s="447"/>
      <c r="F76" s="447"/>
      <c r="G76" s="447"/>
      <c r="H76" s="447"/>
      <c r="I76" s="447"/>
      <c r="J76" s="447"/>
      <c r="K76" s="447"/>
      <c r="L76" s="447"/>
      <c r="M76" s="448"/>
      <c r="N76" s="448"/>
      <c r="O76" s="448"/>
      <c r="P76" s="75"/>
      <c r="Q76" s="75"/>
      <c r="R76" s="75"/>
      <c r="S76" s="75"/>
      <c r="T76" s="75"/>
      <c r="U76" s="75"/>
    </row>
    <row r="77" spans="1:29" ht="21" customHeight="1" x14ac:dyDescent="0.2">
      <c r="B77" s="447" t="s">
        <v>30</v>
      </c>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row>
    <row r="78" spans="1:29" ht="21" customHeight="1" x14ac:dyDescent="0.2">
      <c r="B78" s="447" t="s">
        <v>31</v>
      </c>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row>
    <row r="79" spans="1:29" ht="21" customHeight="1" x14ac:dyDescent="0.2">
      <c r="B79" s="447" t="s">
        <v>32</v>
      </c>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row>
    <row r="80" spans="1:29" ht="21" customHeight="1" x14ac:dyDescent="0.2">
      <c r="B80" s="447" t="s">
        <v>33</v>
      </c>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row>
  </sheetData>
  <mergeCells count="16">
    <mergeCell ref="B64:O64"/>
    <mergeCell ref="B70:O70"/>
    <mergeCell ref="B65:O65"/>
    <mergeCell ref="B66:O66"/>
    <mergeCell ref="B72:O72"/>
    <mergeCell ref="B69:O69"/>
    <mergeCell ref="B68:O68"/>
    <mergeCell ref="B73:O73"/>
    <mergeCell ref="B74:O74"/>
    <mergeCell ref="B71:O71"/>
    <mergeCell ref="B80:AC80"/>
    <mergeCell ref="B75:O75"/>
    <mergeCell ref="B76:O76"/>
    <mergeCell ref="B77:AC77"/>
    <mergeCell ref="B78:AC78"/>
    <mergeCell ref="B79:AC79"/>
  </mergeCells>
  <printOptions horizontalCentered="1"/>
  <pageMargins left="0.74803149606299213" right="0.74803149606299213" top="0.98425196850393704" bottom="0.98425196850393704" header="0.51181102362204722" footer="0.51181102362204722"/>
  <pageSetup paperSize="8" scale="48" orientation="landscape" r:id="rId1"/>
  <headerFooter alignWithMargins="0"/>
  <ignoredErrors>
    <ignoredError sqref="Q3:V3 Q29:T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E88C-E5B1-40DA-8490-9A054FA04518}">
  <sheetPr>
    <pageSetUpPr fitToPage="1"/>
  </sheetPr>
  <dimension ref="A1:BC79"/>
  <sheetViews>
    <sheetView showGridLines="0" zoomScaleNormal="100" zoomScaleSheetLayoutView="115" workbookViewId="0">
      <selection activeCell="B8" sqref="B8:B9"/>
    </sheetView>
  </sheetViews>
  <sheetFormatPr defaultRowHeight="12.75" x14ac:dyDescent="0.2"/>
  <cols>
    <col min="1" max="1" width="3.5703125" customWidth="1"/>
    <col min="2" max="2" width="57.140625" customWidth="1"/>
    <col min="3" max="5" width="20.7109375" customWidth="1"/>
    <col min="6" max="8" width="20.7109375" style="225" customWidth="1"/>
    <col min="9" max="9" width="6.5703125" customWidth="1"/>
    <col min="10" max="11" width="20.7109375" customWidth="1"/>
    <col min="12" max="21" width="16.28515625" style="74" customWidth="1"/>
  </cols>
  <sheetData>
    <row r="1" spans="2:21" ht="26.25" x14ac:dyDescent="0.4">
      <c r="B1" s="2" t="s">
        <v>286</v>
      </c>
      <c r="C1" s="2"/>
      <c r="D1" s="2"/>
      <c r="E1" s="2"/>
      <c r="F1" s="313"/>
      <c r="G1" s="313"/>
      <c r="H1" s="313"/>
      <c r="I1" s="2"/>
      <c r="J1" s="2"/>
      <c r="K1" s="2"/>
      <c r="L1" s="80"/>
      <c r="M1" s="80"/>
      <c r="N1" s="80"/>
      <c r="O1" s="80"/>
      <c r="P1" s="80"/>
      <c r="Q1" s="80"/>
      <c r="R1" s="80"/>
      <c r="S1" s="80"/>
      <c r="T1" s="80"/>
      <c r="U1" s="80"/>
    </row>
    <row r="2" spans="2:21" ht="13.5" thickBot="1" x14ac:dyDescent="0.25"/>
    <row r="3" spans="2:21" s="9" customFormat="1" ht="33" customHeight="1" thickBot="1" x14ac:dyDescent="0.25">
      <c r="B3" s="198" t="s">
        <v>44</v>
      </c>
      <c r="C3" s="202" t="s">
        <v>365</v>
      </c>
      <c r="D3" s="202" t="s">
        <v>354</v>
      </c>
      <c r="E3" s="202" t="s">
        <v>334</v>
      </c>
      <c r="F3" s="202" t="s">
        <v>147</v>
      </c>
      <c r="G3" s="280" t="s">
        <v>295</v>
      </c>
      <c r="H3" s="280" t="s">
        <v>296</v>
      </c>
      <c r="J3" s="280" t="s">
        <v>298</v>
      </c>
      <c r="K3" s="280" t="s">
        <v>297</v>
      </c>
      <c r="L3" s="203" t="s">
        <v>182</v>
      </c>
      <c r="M3" s="203" t="s">
        <v>149</v>
      </c>
      <c r="N3" s="203" t="s">
        <v>150</v>
      </c>
      <c r="O3" s="203" t="s">
        <v>151</v>
      </c>
      <c r="P3" s="203" t="s">
        <v>152</v>
      </c>
      <c r="Q3" s="203" t="s">
        <v>153</v>
      </c>
      <c r="R3" s="203" t="s">
        <v>154</v>
      </c>
      <c r="S3" s="203" t="s">
        <v>155</v>
      </c>
      <c r="T3" s="203" t="s">
        <v>156</v>
      </c>
      <c r="U3" s="203" t="s">
        <v>157</v>
      </c>
    </row>
    <row r="4" spans="2:21" s="9" customFormat="1" ht="15.75" x14ac:dyDescent="0.2">
      <c r="B4" s="33"/>
      <c r="C4" s="33"/>
      <c r="D4" s="33"/>
      <c r="E4" s="33"/>
      <c r="F4" s="34"/>
      <c r="G4" s="34"/>
      <c r="H4" s="34"/>
      <c r="J4" s="34"/>
      <c r="K4" s="34"/>
      <c r="L4" s="82"/>
      <c r="M4" s="82"/>
      <c r="N4" s="82"/>
      <c r="O4" s="82"/>
      <c r="P4" s="82"/>
      <c r="Q4" s="82"/>
      <c r="R4" s="82"/>
      <c r="S4" s="82"/>
      <c r="T4" s="82"/>
      <c r="U4" s="82"/>
    </row>
    <row r="5" spans="2:21" ht="18.75" customHeight="1" x14ac:dyDescent="0.2">
      <c r="B5" s="38" t="s">
        <v>12</v>
      </c>
      <c r="C5" s="301">
        <v>550.1</v>
      </c>
      <c r="D5" s="301">
        <v>570.9</v>
      </c>
      <c r="E5" s="301">
        <v>510.72357</v>
      </c>
      <c r="F5" s="281">
        <v>335.6</v>
      </c>
      <c r="G5" s="281">
        <v>495.9</v>
      </c>
      <c r="H5" s="281">
        <v>465.7</v>
      </c>
      <c r="J5" s="25">
        <v>521.6</v>
      </c>
      <c r="K5" s="91">
        <v>492.19299999999998</v>
      </c>
      <c r="L5" s="91">
        <v>547.18399999999997</v>
      </c>
      <c r="M5" s="74">
        <v>651.1</v>
      </c>
      <c r="N5" s="74">
        <v>674.9</v>
      </c>
      <c r="O5" s="74">
        <v>606.29999999999995</v>
      </c>
      <c r="P5" s="74">
        <v>598.4</v>
      </c>
      <c r="Q5" s="74">
        <v>613.29999999999995</v>
      </c>
      <c r="R5" s="74">
        <v>603.29999999999995</v>
      </c>
      <c r="S5" s="74">
        <v>580.29999999999995</v>
      </c>
      <c r="T5" s="178">
        <v>562.14099999999996</v>
      </c>
      <c r="U5" s="178">
        <v>636.96</v>
      </c>
    </row>
    <row r="6" spans="2:21" ht="18.75" customHeight="1" x14ac:dyDescent="0.2">
      <c r="B6" s="39" t="s">
        <v>13</v>
      </c>
      <c r="C6" s="301">
        <v>318.60000000000002</v>
      </c>
      <c r="D6" s="301">
        <v>318.3</v>
      </c>
      <c r="E6" s="301">
        <v>262.23644000000002</v>
      </c>
      <c r="F6" s="281">
        <v>148.6</v>
      </c>
      <c r="G6" s="281">
        <v>266.2</v>
      </c>
      <c r="H6" s="281">
        <v>239.8</v>
      </c>
      <c r="J6" s="26">
        <v>276.60000000000002</v>
      </c>
      <c r="K6" s="91">
        <v>254.095</v>
      </c>
      <c r="L6" s="91">
        <v>287.20699999999999</v>
      </c>
      <c r="M6" s="74">
        <v>394.6</v>
      </c>
      <c r="N6" s="74">
        <v>409.9</v>
      </c>
      <c r="O6" s="74">
        <v>383.5</v>
      </c>
      <c r="P6" s="74">
        <v>372.1</v>
      </c>
      <c r="Q6" s="74">
        <v>365.3</v>
      </c>
      <c r="R6" s="74">
        <v>364.3</v>
      </c>
      <c r="S6" s="74">
        <v>346.5</v>
      </c>
      <c r="T6" s="178">
        <v>331.15100000000001</v>
      </c>
      <c r="U6" s="178">
        <v>373</v>
      </c>
    </row>
    <row r="7" spans="2:21" ht="18.75" customHeight="1" x14ac:dyDescent="0.2">
      <c r="B7" s="379" t="s">
        <v>333</v>
      </c>
      <c r="C7" s="381">
        <f>C6/C$5</f>
        <v>0.57916742410470823</v>
      </c>
      <c r="D7" s="381">
        <f>D6/D$5</f>
        <v>0.55754072517078301</v>
      </c>
      <c r="E7" s="381">
        <f>E6/E$5</f>
        <v>0.5134606182362017</v>
      </c>
      <c r="F7" s="380">
        <f>F6/F$5</f>
        <v>0.44278903456495822</v>
      </c>
      <c r="G7" s="380">
        <f t="shared" ref="G7:H7" si="0">G6/G$5</f>
        <v>0.53680177455132083</v>
      </c>
      <c r="H7" s="380">
        <f t="shared" si="0"/>
        <v>0.51492377066781192</v>
      </c>
      <c r="J7" s="380">
        <f t="shared" ref="J7:U7" si="1">J6/J$5</f>
        <v>0.53029141104294486</v>
      </c>
      <c r="K7" s="380">
        <f t="shared" si="1"/>
        <v>0.51625073903936058</v>
      </c>
      <c r="L7" s="380">
        <f t="shared" si="1"/>
        <v>0.52488194099242669</v>
      </c>
      <c r="M7" s="380">
        <f t="shared" si="1"/>
        <v>0.6060512978037168</v>
      </c>
      <c r="N7" s="380">
        <f t="shared" si="1"/>
        <v>0.60734923692398868</v>
      </c>
      <c r="O7" s="380">
        <f t="shared" si="1"/>
        <v>0.63252515256473696</v>
      </c>
      <c r="P7" s="380">
        <f t="shared" si="1"/>
        <v>0.62182486631016054</v>
      </c>
      <c r="Q7" s="380">
        <f t="shared" si="1"/>
        <v>0.59563019729333122</v>
      </c>
      <c r="R7" s="380">
        <f t="shared" si="1"/>
        <v>0.603845516326869</v>
      </c>
      <c r="S7" s="380">
        <f t="shared" si="1"/>
        <v>0.59710494571773221</v>
      </c>
      <c r="T7" s="380">
        <f t="shared" si="1"/>
        <v>0.58908885848924031</v>
      </c>
      <c r="U7" s="380">
        <f t="shared" si="1"/>
        <v>0.5855940718412459</v>
      </c>
    </row>
    <row r="8" spans="2:21" ht="18.75" customHeight="1" x14ac:dyDescent="0.2">
      <c r="B8" s="40" t="s">
        <v>366</v>
      </c>
      <c r="C8" s="301">
        <v>323.61700000000002</v>
      </c>
      <c r="D8" s="301"/>
      <c r="E8" s="301"/>
      <c r="F8" s="281"/>
      <c r="G8" s="281"/>
      <c r="H8" s="281"/>
      <c r="J8" s="26"/>
      <c r="K8" s="91"/>
      <c r="L8" s="91"/>
      <c r="T8" s="178"/>
      <c r="U8" s="178"/>
    </row>
    <row r="9" spans="2:21" ht="18.75" customHeight="1" x14ac:dyDescent="0.2">
      <c r="B9" s="379" t="s">
        <v>333</v>
      </c>
      <c r="C9" s="381">
        <f>C8/C$5</f>
        <v>0.58828758407562265</v>
      </c>
      <c r="D9" s="381"/>
      <c r="E9" s="381"/>
      <c r="F9" s="380"/>
      <c r="G9" s="380"/>
      <c r="H9" s="380"/>
      <c r="J9" s="380"/>
      <c r="K9" s="380"/>
      <c r="L9" s="380"/>
      <c r="M9" s="380"/>
      <c r="N9" s="380"/>
      <c r="O9" s="380"/>
      <c r="P9" s="380"/>
      <c r="Q9" s="380"/>
      <c r="R9" s="380"/>
      <c r="S9" s="380"/>
      <c r="T9" s="380"/>
      <c r="U9" s="380"/>
    </row>
    <row r="10" spans="2:21" ht="7.5" customHeight="1" x14ac:dyDescent="0.2">
      <c r="B10" s="6"/>
      <c r="C10" s="31"/>
      <c r="D10" s="31"/>
      <c r="E10" s="31"/>
      <c r="F10" s="31"/>
      <c r="G10" s="31"/>
      <c r="H10" s="31"/>
      <c r="J10" s="27"/>
      <c r="K10" s="81"/>
      <c r="L10" s="81"/>
      <c r="M10" s="84"/>
      <c r="N10" s="84"/>
      <c r="O10" s="84"/>
      <c r="P10" s="84"/>
      <c r="Q10" s="84"/>
      <c r="R10" s="84"/>
      <c r="S10" s="84"/>
      <c r="T10" s="84"/>
      <c r="U10" s="84"/>
    </row>
    <row r="11" spans="2:21" ht="18.75" customHeight="1" x14ac:dyDescent="0.2">
      <c r="B11" s="40" t="s">
        <v>0</v>
      </c>
      <c r="C11" s="32">
        <v>44.6</v>
      </c>
      <c r="D11" s="32">
        <v>62.1</v>
      </c>
      <c r="E11" s="32">
        <v>51.040999999999997</v>
      </c>
      <c r="F11" s="32">
        <v>-38.6</v>
      </c>
      <c r="G11" s="281">
        <v>36.299999999999997</v>
      </c>
      <c r="H11" s="281">
        <v>26.8</v>
      </c>
      <c r="J11" s="28">
        <v>33</v>
      </c>
      <c r="K11" s="91">
        <v>21.68</v>
      </c>
      <c r="L11" s="91">
        <v>24.149000000000001</v>
      </c>
      <c r="M11" s="74">
        <v>52.2</v>
      </c>
      <c r="N11" s="74">
        <v>60.3</v>
      </c>
      <c r="O11" s="74">
        <v>68.7</v>
      </c>
      <c r="P11" s="74">
        <v>65</v>
      </c>
      <c r="Q11" s="74">
        <v>70.7</v>
      </c>
      <c r="R11" s="74">
        <v>80.2</v>
      </c>
      <c r="S11" s="74">
        <v>64.8</v>
      </c>
      <c r="T11" s="178">
        <v>44.064</v>
      </c>
      <c r="U11" s="178">
        <v>85.2</v>
      </c>
    </row>
    <row r="12" spans="2:21" ht="18.75" customHeight="1" x14ac:dyDescent="0.2">
      <c r="B12" s="379" t="s">
        <v>333</v>
      </c>
      <c r="C12" s="381">
        <f>C11/C$5</f>
        <v>8.10761679694601E-2</v>
      </c>
      <c r="D12" s="381">
        <f>D11/D$5</f>
        <v>0.10877561744613769</v>
      </c>
      <c r="E12" s="381">
        <f>E11/E$5</f>
        <v>9.9938602794462761E-2</v>
      </c>
      <c r="F12" s="380">
        <f>F11/F$5</f>
        <v>-0.11501787842669844</v>
      </c>
      <c r="G12" s="380">
        <f t="shared" ref="G12" si="2">G11/G$5</f>
        <v>7.3200241984271025E-2</v>
      </c>
      <c r="H12" s="380">
        <f t="shared" ref="H12" si="3">H11/H$5</f>
        <v>5.754777753918832E-2</v>
      </c>
      <c r="J12" s="380">
        <f t="shared" ref="J12" si="4">J11/J$5</f>
        <v>6.3266871165644167E-2</v>
      </c>
      <c r="K12" s="380">
        <f t="shared" ref="K12" si="5">K11/K$5</f>
        <v>4.4047761751995658E-2</v>
      </c>
      <c r="L12" s="380">
        <f t="shared" ref="L12" si="6">L11/L$5</f>
        <v>4.4133234889909063E-2</v>
      </c>
      <c r="M12" s="380">
        <f t="shared" ref="M12" si="7">M11/M$5</f>
        <v>8.017201658731378E-2</v>
      </c>
      <c r="N12" s="380">
        <f t="shared" ref="N12" si="8">N11/N$5</f>
        <v>8.9346569862201811E-2</v>
      </c>
      <c r="O12" s="380">
        <f t="shared" ref="O12" si="9">O11/O$5</f>
        <v>0.11331024245423059</v>
      </c>
      <c r="P12" s="380">
        <f t="shared" ref="P12" si="10">P11/P$5</f>
        <v>0.10862299465240642</v>
      </c>
      <c r="Q12" s="380">
        <f t="shared" ref="Q12" si="11">Q11/Q$5</f>
        <v>0.11527800423936085</v>
      </c>
      <c r="R12" s="380">
        <f t="shared" ref="R12" si="12">R11/R$5</f>
        <v>0.13293552129951933</v>
      </c>
      <c r="S12" s="380">
        <f t="shared" ref="S12" si="13">S11/S$5</f>
        <v>0.11166637945890057</v>
      </c>
      <c r="T12" s="380">
        <f t="shared" ref="T12" si="14">T11/T$5</f>
        <v>7.8386027704792929E-2</v>
      </c>
      <c r="U12" s="380">
        <f t="shared" ref="U12" si="15">U11/U$5</f>
        <v>0.13376036171816127</v>
      </c>
    </row>
    <row r="13" spans="2:21" ht="18.75" customHeight="1" x14ac:dyDescent="0.2">
      <c r="B13" s="40" t="s">
        <v>41</v>
      </c>
      <c r="C13" s="32">
        <v>57.3</v>
      </c>
      <c r="D13" s="32">
        <v>62.6</v>
      </c>
      <c r="E13" s="32">
        <v>49.667983999999997</v>
      </c>
      <c r="F13" s="32">
        <v>-28.3</v>
      </c>
      <c r="G13" s="281">
        <v>41.2</v>
      </c>
      <c r="H13" s="281">
        <v>30.3</v>
      </c>
      <c r="J13" s="28">
        <v>39.299999999999997</v>
      </c>
      <c r="K13" s="91">
        <v>25.146999999999998</v>
      </c>
      <c r="L13" s="91">
        <v>27.8</v>
      </c>
      <c r="M13" s="74">
        <v>58.3</v>
      </c>
      <c r="N13" s="74">
        <v>62.7</v>
      </c>
      <c r="O13" s="74">
        <v>71.7</v>
      </c>
      <c r="P13" s="74">
        <v>72.400000000000006</v>
      </c>
      <c r="T13" s="178">
        <v>51.485999999999997</v>
      </c>
      <c r="U13" s="178"/>
    </row>
    <row r="14" spans="2:21" ht="18.75" customHeight="1" x14ac:dyDescent="0.2">
      <c r="B14" s="379" t="s">
        <v>333</v>
      </c>
      <c r="C14" s="381">
        <f>C13/C$5</f>
        <v>0.10416287947645882</v>
      </c>
      <c r="D14" s="381">
        <f>D13/D$5</f>
        <v>0.10965142757050272</v>
      </c>
      <c r="E14" s="381">
        <f>E13/E$5</f>
        <v>9.7250228729408347E-2</v>
      </c>
      <c r="F14" s="380">
        <f>F13/F$5</f>
        <v>-8.432657926102502E-2</v>
      </c>
      <c r="G14" s="380">
        <f t="shared" ref="G14" si="16">G13/G$5</f>
        <v>8.308126638435169E-2</v>
      </c>
      <c r="H14" s="380">
        <f t="shared" ref="H14" si="17">H13/H$5</f>
        <v>6.5063345501395753E-2</v>
      </c>
      <c r="J14" s="380">
        <f t="shared" ref="J14" si="18">J13/J$5</f>
        <v>7.5345092024539873E-2</v>
      </c>
      <c r="K14" s="380">
        <f t="shared" ref="K14" si="19">K13/K$5</f>
        <v>5.1091746530324486E-2</v>
      </c>
      <c r="L14" s="380">
        <f t="shared" ref="L14" si="20">L13/L$5</f>
        <v>5.0805579110500314E-2</v>
      </c>
      <c r="M14" s="380">
        <f t="shared" ref="M14" si="21">M13/M$5</f>
        <v>8.9540777146367684E-2</v>
      </c>
      <c r="N14" s="380">
        <f t="shared" ref="N14" si="22">N13/N$5</f>
        <v>9.2902652244777006E-2</v>
      </c>
      <c r="O14" s="380">
        <f t="shared" ref="O14" si="23">O13/O$5</f>
        <v>0.11825828797624939</v>
      </c>
      <c r="P14" s="380">
        <f t="shared" ref="P14" si="24">P13/P$5</f>
        <v>0.12098930481283424</v>
      </c>
      <c r="Q14" s="380">
        <f t="shared" ref="Q14" si="25">Q13/Q$5</f>
        <v>0</v>
      </c>
      <c r="R14" s="380">
        <f t="shared" ref="R14" si="26">R13/R$5</f>
        <v>0</v>
      </c>
      <c r="S14" s="380">
        <f t="shared" ref="S14" si="27">S13/S$5</f>
        <v>0</v>
      </c>
      <c r="T14" s="380">
        <f t="shared" ref="T14" si="28">T13/T$5</f>
        <v>9.1589120878925401E-2</v>
      </c>
      <c r="U14" s="380">
        <f t="shared" ref="U14" si="29">U13/U$5</f>
        <v>0</v>
      </c>
    </row>
    <row r="15" spans="2:21" ht="7.5" customHeight="1" x14ac:dyDescent="0.2">
      <c r="B15" s="40"/>
      <c r="C15" s="32"/>
      <c r="D15" s="32"/>
      <c r="E15" s="32"/>
      <c r="F15" s="32"/>
      <c r="G15" s="32"/>
      <c r="H15" s="32"/>
      <c r="J15" s="28"/>
      <c r="K15" s="85"/>
      <c r="L15" s="85"/>
      <c r="M15" s="85"/>
      <c r="N15" s="85"/>
      <c r="O15" s="85"/>
      <c r="P15" s="85"/>
      <c r="Q15" s="85"/>
      <c r="R15" s="85"/>
      <c r="S15" s="85"/>
      <c r="T15" s="85"/>
      <c r="U15" s="85"/>
    </row>
    <row r="16" spans="2:21" ht="18.75" customHeight="1" x14ac:dyDescent="0.2">
      <c r="B16" s="40" t="s">
        <v>14</v>
      </c>
      <c r="C16" s="32">
        <v>18.8</v>
      </c>
      <c r="D16" s="32">
        <v>38</v>
      </c>
      <c r="E16" s="32">
        <v>22.34187</v>
      </c>
      <c r="F16" s="32">
        <v>-68.400000000000006</v>
      </c>
      <c r="G16" s="32">
        <v>-218.8</v>
      </c>
      <c r="H16" s="281">
        <v>5.5</v>
      </c>
      <c r="J16" s="28">
        <v>-241.4</v>
      </c>
      <c r="K16" s="176">
        <v>-0.38100000000000001</v>
      </c>
      <c r="L16" s="91">
        <v>3.27</v>
      </c>
      <c r="M16" s="74">
        <v>30.4</v>
      </c>
      <c r="N16" s="74">
        <v>40.700000000000003</v>
      </c>
      <c r="O16" s="74">
        <v>51.5</v>
      </c>
      <c r="P16" s="74">
        <v>47.3</v>
      </c>
      <c r="Q16" s="74">
        <v>51.2</v>
      </c>
      <c r="R16" s="74">
        <v>61.9</v>
      </c>
      <c r="S16" s="74">
        <v>44.7</v>
      </c>
      <c r="T16" s="176">
        <v>-98.849000000000004</v>
      </c>
      <c r="U16" s="178">
        <v>65.16</v>
      </c>
    </row>
    <row r="17" spans="1:24" ht="18.75" customHeight="1" x14ac:dyDescent="0.2">
      <c r="B17" s="379" t="s">
        <v>333</v>
      </c>
      <c r="C17" s="381">
        <f>C16/C$5</f>
        <v>3.4175604435557172E-2</v>
      </c>
      <c r="D17" s="381">
        <f>D16/D$5</f>
        <v>6.6561569451742866E-2</v>
      </c>
      <c r="E17" s="381">
        <f>E16/E$5</f>
        <v>4.374552363032707E-2</v>
      </c>
      <c r="F17" s="380">
        <f>F16/F$5</f>
        <v>-0.20381406436233612</v>
      </c>
      <c r="G17" s="380">
        <f t="shared" ref="G17" si="30">G16/G$5</f>
        <v>-0.44121798749747937</v>
      </c>
      <c r="H17" s="380">
        <f t="shared" ref="H17" si="31">H16/H$5</f>
        <v>1.1810178226325961E-2</v>
      </c>
      <c r="J17" s="380">
        <f t="shared" ref="J17" si="32">J16/J$5</f>
        <v>-0.46280674846625763</v>
      </c>
      <c r="K17" s="380">
        <f t="shared" ref="K17" si="33">K16/K$5</f>
        <v>-7.7408658798479464E-4</v>
      </c>
      <c r="L17" s="380">
        <f t="shared" ref="L17" si="34">L16/L$5</f>
        <v>5.9760519313430223E-3</v>
      </c>
      <c r="M17" s="380">
        <f t="shared" ref="M17" si="35">M16/M$5</f>
        <v>4.6690216556596525E-2</v>
      </c>
      <c r="N17" s="380">
        <f t="shared" ref="N17" si="36">N16/N$5</f>
        <v>6.0305230404504376E-2</v>
      </c>
      <c r="O17" s="380">
        <f t="shared" ref="O17" si="37">O16/O$5</f>
        <v>8.4941448127989455E-2</v>
      </c>
      <c r="P17" s="380">
        <f t="shared" ref="P17" si="38">P16/P$5</f>
        <v>7.904411764705882E-2</v>
      </c>
      <c r="Q17" s="380">
        <f t="shared" ref="Q17" si="39">Q16/Q$5</f>
        <v>8.3482797978151002E-2</v>
      </c>
      <c r="R17" s="380">
        <f t="shared" ref="R17" si="40">R16/R$5</f>
        <v>0.10260235372120007</v>
      </c>
      <c r="S17" s="380">
        <f t="shared" ref="S17" si="41">S16/S$5</f>
        <v>7.7029122867482341E-2</v>
      </c>
      <c r="T17" s="380">
        <f t="shared" ref="T17" si="42">T16/T$5</f>
        <v>-0.17584378296548378</v>
      </c>
      <c r="U17" s="380">
        <f t="shared" ref="U17" si="43">U16/U$5</f>
        <v>0.10229841748304445</v>
      </c>
    </row>
    <row r="18" spans="1:24" ht="18.75" customHeight="1" x14ac:dyDescent="0.2">
      <c r="B18" s="40" t="s">
        <v>42</v>
      </c>
      <c r="C18" s="32">
        <v>35.1</v>
      </c>
      <c r="D18" s="32">
        <v>39.200000000000003</v>
      </c>
      <c r="E18" s="32">
        <v>24.666270000000001</v>
      </c>
      <c r="F18" s="32">
        <v>-55.2</v>
      </c>
      <c r="G18" s="281">
        <v>13.3</v>
      </c>
      <c r="H18" s="281">
        <v>9.1</v>
      </c>
      <c r="J18" s="28">
        <v>5.3</v>
      </c>
      <c r="K18" s="91">
        <v>3.15</v>
      </c>
      <c r="L18" s="91">
        <v>7</v>
      </c>
      <c r="M18" s="74">
        <v>37.5</v>
      </c>
      <c r="N18" s="74">
        <v>43.1</v>
      </c>
      <c r="O18" s="74">
        <v>54.5</v>
      </c>
      <c r="P18" s="74">
        <v>54.7</v>
      </c>
      <c r="T18" s="178">
        <v>29.268000000000001</v>
      </c>
      <c r="U18" s="178"/>
    </row>
    <row r="19" spans="1:24" ht="18.75" customHeight="1" x14ac:dyDescent="0.2">
      <c r="B19" s="379" t="s">
        <v>333</v>
      </c>
      <c r="C19" s="381">
        <f>C18/C$5</f>
        <v>6.3806580621705147E-2</v>
      </c>
      <c r="D19" s="381">
        <f>D18/D$5</f>
        <v>6.8663513750218966E-2</v>
      </c>
      <c r="E19" s="381">
        <f>E18/E$5</f>
        <v>4.8296713621421468E-2</v>
      </c>
      <c r="F19" s="380">
        <f>F18/F$5</f>
        <v>-0.16448152562574495</v>
      </c>
      <c r="G19" s="380">
        <f t="shared" ref="G19" si="44">G18/G$5</f>
        <v>2.6819923371647514E-2</v>
      </c>
      <c r="H19" s="380">
        <f t="shared" ref="H19" si="45">H18/H$5</f>
        <v>1.9540476701739317E-2</v>
      </c>
      <c r="J19" s="380">
        <f t="shared" ref="J19" si="46">J18/J$5</f>
        <v>1.0161042944785275E-2</v>
      </c>
      <c r="K19" s="380">
        <f t="shared" ref="K19" si="47">K18/K$5</f>
        <v>6.3999284833388525E-3</v>
      </c>
      <c r="L19" s="380">
        <f t="shared" ref="L19" si="48">L18/L$5</f>
        <v>1.2792771718471301E-2</v>
      </c>
      <c r="M19" s="380">
        <f t="shared" ref="M19" si="49">M18/M$5</f>
        <v>5.7594839502380583E-2</v>
      </c>
      <c r="N19" s="380">
        <f t="shared" ref="N19" si="50">N18/N$5</f>
        <v>6.3861312787079572E-2</v>
      </c>
      <c r="O19" s="380">
        <f t="shared" ref="O19" si="51">O18/O$5</f>
        <v>8.9889493650008256E-2</v>
      </c>
      <c r="P19" s="380">
        <f t="shared" ref="P19" si="52">P18/P$5</f>
        <v>9.1410427807486636E-2</v>
      </c>
      <c r="Q19" s="380">
        <f t="shared" ref="Q19" si="53">Q18/Q$5</f>
        <v>0</v>
      </c>
      <c r="R19" s="380">
        <f t="shared" ref="R19" si="54">R18/R$5</f>
        <v>0</v>
      </c>
      <c r="S19" s="380">
        <f t="shared" ref="S19" si="55">S18/S$5</f>
        <v>0</v>
      </c>
      <c r="T19" s="380">
        <f t="shared" ref="T19" si="56">T18/T$5</f>
        <v>5.2065229186271773E-2</v>
      </c>
      <c r="U19" s="380">
        <f t="shared" ref="U19" si="57">U18/U$5</f>
        <v>0</v>
      </c>
    </row>
    <row r="20" spans="1:24" ht="7.5" customHeight="1" x14ac:dyDescent="0.2">
      <c r="B20" s="6"/>
      <c r="C20" s="316"/>
      <c r="D20" s="316"/>
      <c r="E20" s="316"/>
      <c r="F20" s="316"/>
      <c r="G20" s="316"/>
      <c r="H20" s="316"/>
      <c r="J20" s="27"/>
      <c r="K20" s="81"/>
      <c r="L20" s="81"/>
      <c r="M20" s="84"/>
      <c r="N20" s="84"/>
      <c r="O20" s="84"/>
      <c r="P20" s="84"/>
      <c r="Q20" s="84"/>
      <c r="R20" s="84"/>
      <c r="S20" s="84"/>
      <c r="T20" s="84"/>
      <c r="U20" s="84"/>
    </row>
    <row r="21" spans="1:24" ht="18.75" customHeight="1" x14ac:dyDescent="0.2">
      <c r="B21" s="40" t="s">
        <v>15</v>
      </c>
      <c r="C21" s="32">
        <v>-9</v>
      </c>
      <c r="D21" s="32">
        <v>32.700000000000003</v>
      </c>
      <c r="E21" s="32">
        <v>1.96028</v>
      </c>
      <c r="F21" s="32">
        <v>-74.8</v>
      </c>
      <c r="G21" s="32">
        <v>-246.9</v>
      </c>
      <c r="H21" s="32">
        <v>-7.9</v>
      </c>
      <c r="J21" s="28">
        <v>-273.2</v>
      </c>
      <c r="K21" s="176">
        <v>-13.933999999999999</v>
      </c>
      <c r="L21" s="176">
        <v>-9.6010000000000009</v>
      </c>
      <c r="M21" s="74">
        <v>16.5</v>
      </c>
      <c r="N21" s="74">
        <v>8.5</v>
      </c>
      <c r="O21" s="74">
        <v>29.5</v>
      </c>
      <c r="P21" s="74">
        <v>20.100000000000001</v>
      </c>
      <c r="Q21" s="74">
        <v>21.5</v>
      </c>
      <c r="R21" s="74">
        <v>31.3</v>
      </c>
      <c r="S21" s="176">
        <v>-3.3</v>
      </c>
      <c r="T21" s="176">
        <v>-136.01499999999999</v>
      </c>
      <c r="U21" s="178">
        <v>21.07</v>
      </c>
    </row>
    <row r="22" spans="1:24" ht="18.75" customHeight="1" x14ac:dyDescent="0.2">
      <c r="B22" s="379" t="s">
        <v>333</v>
      </c>
      <c r="C22" s="381">
        <f>C21/C$5</f>
        <v>-1.6360661697873112E-2</v>
      </c>
      <c r="D22" s="381">
        <f>D21/D$5</f>
        <v>5.7277982133473473E-2</v>
      </c>
      <c r="E22" s="381">
        <f>E21/E$5</f>
        <v>3.8382407140520264E-3</v>
      </c>
      <c r="F22" s="380">
        <f>F21/F$5</f>
        <v>-0.22288438617401665</v>
      </c>
      <c r="G22" s="380">
        <f t="shared" ref="G22" si="58">G21/G$5</f>
        <v>-0.49788263762855417</v>
      </c>
      <c r="H22" s="380">
        <f t="shared" ref="H22" si="59">H21/H$5</f>
        <v>-1.6963710543268201E-2</v>
      </c>
      <c r="J22" s="380">
        <f t="shared" ref="J22" si="60">J21/J$5</f>
        <v>-0.52377300613496924</v>
      </c>
      <c r="K22" s="380">
        <f t="shared" ref="K22" si="61">K21/K$5</f>
        <v>-2.8310032852966214E-2</v>
      </c>
      <c r="L22" s="380">
        <f t="shared" ref="L22" si="62">L21/L$5</f>
        <v>-1.7546200181291854E-2</v>
      </c>
      <c r="M22" s="380">
        <f t="shared" ref="M22" si="63">M21/M$5</f>
        <v>2.5341729381047458E-2</v>
      </c>
      <c r="N22" s="380">
        <f t="shared" ref="N22" si="64">N21/N$5</f>
        <v>1.2594458438287154E-2</v>
      </c>
      <c r="O22" s="380">
        <f t="shared" ref="O22" si="65">O21/O$5</f>
        <v>4.8655780966518229E-2</v>
      </c>
      <c r="P22" s="380">
        <f t="shared" ref="P22" si="66">P21/P$5</f>
        <v>3.3589572192513371E-2</v>
      </c>
      <c r="Q22" s="380">
        <f t="shared" ref="Q22" si="67">Q21/Q$5</f>
        <v>3.5056253057231375E-2</v>
      </c>
      <c r="R22" s="380">
        <f t="shared" ref="R22" si="68">R21/R$5</f>
        <v>5.1881319409912155E-2</v>
      </c>
      <c r="S22" s="380">
        <f t="shared" ref="S22" si="69">S21/S$5</f>
        <v>-5.686713768740307E-3</v>
      </c>
      <c r="T22" s="380">
        <f t="shared" ref="T22" si="70">T21/T$5</f>
        <v>-0.24195886797084717</v>
      </c>
      <c r="U22" s="380">
        <f t="shared" ref="U22" si="71">U21/U$5</f>
        <v>3.3079000251193168E-2</v>
      </c>
    </row>
    <row r="23" spans="1:24" ht="18.75" customHeight="1" x14ac:dyDescent="0.2">
      <c r="B23" s="40" t="s">
        <v>43</v>
      </c>
      <c r="C23" s="32">
        <v>6.9</v>
      </c>
      <c r="D23" s="32">
        <v>33.700000000000003</v>
      </c>
      <c r="E23" s="32">
        <v>4.3696800000000007</v>
      </c>
      <c r="F23" s="32">
        <v>-63.7</v>
      </c>
      <c r="G23" s="32">
        <v>8.5</v>
      </c>
      <c r="H23" s="32">
        <v>-4.3</v>
      </c>
      <c r="J23" s="28">
        <v>0.6</v>
      </c>
      <c r="K23" s="176">
        <v>-10.355</v>
      </c>
      <c r="L23" s="176">
        <v>-6.6</v>
      </c>
      <c r="M23" s="74">
        <v>22.9</v>
      </c>
      <c r="N23" s="74">
        <v>9.9</v>
      </c>
      <c r="O23" s="74">
        <v>31.5</v>
      </c>
      <c r="P23" s="74">
        <v>25.6</v>
      </c>
      <c r="T23" s="176">
        <v>-7.899</v>
      </c>
      <c r="U23" s="178">
        <v>14.6</v>
      </c>
    </row>
    <row r="24" spans="1:24" ht="18.75" customHeight="1" x14ac:dyDescent="0.2">
      <c r="B24" s="379" t="s">
        <v>333</v>
      </c>
      <c r="C24" s="381">
        <v>1.2E-2</v>
      </c>
      <c r="D24" s="381">
        <f>D23/D$5</f>
        <v>5.9029602382203547E-2</v>
      </c>
      <c r="E24" s="381">
        <f>E23/E$5</f>
        <v>8.5558612460357002E-3</v>
      </c>
      <c r="F24" s="380">
        <f>F23/F$5</f>
        <v>-0.18980929678188319</v>
      </c>
      <c r="G24" s="380">
        <f t="shared" ref="G24" si="72">G23/G$5</f>
        <v>1.7140552530752168E-2</v>
      </c>
      <c r="H24" s="380">
        <f t="shared" ref="H24" si="73">H23/H$5</f>
        <v>-9.2334120678548414E-3</v>
      </c>
      <c r="J24" s="380">
        <f t="shared" ref="J24" si="74">J23/J$5</f>
        <v>1.1503067484662575E-3</v>
      </c>
      <c r="K24" s="380">
        <f t="shared" ref="K24" si="75">K23/K$5</f>
        <v>-2.1038495061896454E-2</v>
      </c>
      <c r="L24" s="380">
        <f t="shared" ref="L24" si="76">L23/L$5</f>
        <v>-1.2061756191701512E-2</v>
      </c>
      <c r="M24" s="380">
        <f t="shared" ref="M24" si="77">M23/M$5</f>
        <v>3.517124865612041E-2</v>
      </c>
      <c r="N24" s="380">
        <f t="shared" ref="N24" si="78">N23/N$5</f>
        <v>1.4668839828122686E-2</v>
      </c>
      <c r="O24" s="380">
        <f t="shared" ref="O24" si="79">O23/O$5</f>
        <v>5.1954477981197428E-2</v>
      </c>
      <c r="P24" s="380">
        <f t="shared" ref="P24" si="80">P23/P$5</f>
        <v>4.2780748663101609E-2</v>
      </c>
      <c r="Q24" s="380">
        <f t="shared" ref="Q24" si="81">Q23/Q$5</f>
        <v>0</v>
      </c>
      <c r="R24" s="380">
        <f t="shared" ref="R24" si="82">R23/R$5</f>
        <v>0</v>
      </c>
      <c r="S24" s="380">
        <f t="shared" ref="S24" si="83">S23/S$5</f>
        <v>0</v>
      </c>
      <c r="T24" s="380">
        <f t="shared" ref="T24" si="84">T23/T$5</f>
        <v>-1.4051634732211314E-2</v>
      </c>
      <c r="U24" s="380">
        <f t="shared" ref="U24" si="85">U23/U$5</f>
        <v>2.292137653855815E-2</v>
      </c>
    </row>
    <row r="25" spans="1:24" ht="13.5" thickBot="1" x14ac:dyDescent="0.25">
      <c r="B25" s="35"/>
      <c r="C25" s="35"/>
      <c r="D25" s="35"/>
      <c r="E25" s="317"/>
      <c r="F25" s="317"/>
      <c r="G25" s="317"/>
      <c r="H25" s="318"/>
      <c r="J25" s="36"/>
      <c r="K25" s="35"/>
      <c r="L25" s="86"/>
      <c r="M25" s="87"/>
      <c r="N25" s="87"/>
      <c r="O25" s="87"/>
      <c r="P25" s="87"/>
      <c r="Q25" s="87"/>
      <c r="R25" s="87"/>
      <c r="S25" s="87"/>
      <c r="T25" s="87"/>
      <c r="U25" s="87"/>
    </row>
    <row r="26" spans="1:24" ht="5.25" customHeight="1" x14ac:dyDescent="0.2">
      <c r="L26" s="88"/>
      <c r="M26" s="88"/>
      <c r="N26" s="88"/>
      <c r="O26" s="88"/>
      <c r="P26" s="88"/>
      <c r="Q26" s="88"/>
      <c r="R26" s="88"/>
      <c r="S26" s="88"/>
      <c r="T26" s="88"/>
      <c r="U26" s="88"/>
    </row>
    <row r="27" spans="1:24" ht="38.25" customHeight="1" x14ac:dyDescent="0.4">
      <c r="A27" s="24"/>
      <c r="B27" s="41" t="s">
        <v>287</v>
      </c>
      <c r="C27" s="185"/>
      <c r="D27" s="185"/>
      <c r="E27" s="185"/>
      <c r="F27" s="319"/>
      <c r="G27" s="319"/>
      <c r="H27" s="319"/>
      <c r="J27" s="41"/>
      <c r="K27" s="41"/>
      <c r="L27" s="56"/>
      <c r="M27" s="56"/>
      <c r="N27" s="56"/>
      <c r="O27" s="56"/>
      <c r="P27" s="56"/>
      <c r="Q27" s="56"/>
      <c r="R27" s="56"/>
      <c r="S27" s="56"/>
      <c r="T27" s="56"/>
      <c r="U27" s="56"/>
      <c r="V27" s="43"/>
      <c r="W27" s="43"/>
      <c r="X27" s="43"/>
    </row>
    <row r="28" spans="1:24" ht="13.5" thickBot="1" x14ac:dyDescent="0.25">
      <c r="B28" s="44"/>
      <c r="C28" s="44"/>
      <c r="D28" s="44"/>
      <c r="E28" s="44"/>
      <c r="F28" s="320"/>
      <c r="G28" s="320"/>
      <c r="H28" s="320"/>
      <c r="J28" s="44"/>
      <c r="K28" s="44"/>
      <c r="L28" s="57"/>
      <c r="M28" s="58"/>
      <c r="N28" s="58"/>
      <c r="O28" s="58"/>
      <c r="P28" s="58"/>
      <c r="Q28" s="58"/>
      <c r="R28" s="58"/>
      <c r="S28" s="58"/>
      <c r="T28" s="57"/>
      <c r="U28" s="58"/>
      <c r="V28" s="43"/>
      <c r="W28" s="43"/>
      <c r="X28" s="43"/>
    </row>
    <row r="29" spans="1:24" s="9" customFormat="1" ht="28.5" customHeight="1" thickBot="1" x14ac:dyDescent="0.25">
      <c r="B29" s="198" t="s">
        <v>44</v>
      </c>
      <c r="C29" s="202" t="s">
        <v>365</v>
      </c>
      <c r="D29" s="202" t="s">
        <v>354</v>
      </c>
      <c r="E29" s="202" t="s">
        <v>334</v>
      </c>
      <c r="F29" s="202" t="s">
        <v>147</v>
      </c>
      <c r="G29" s="280" t="s">
        <v>295</v>
      </c>
      <c r="H29" s="280" t="s">
        <v>296</v>
      </c>
      <c r="J29" s="280" t="s">
        <v>298</v>
      </c>
      <c r="K29" s="280" t="s">
        <v>297</v>
      </c>
      <c r="L29" s="203" t="s">
        <v>182</v>
      </c>
      <c r="M29" s="203" t="s">
        <v>149</v>
      </c>
      <c r="N29" s="203" t="s">
        <v>150</v>
      </c>
      <c r="O29" s="203" t="s">
        <v>151</v>
      </c>
      <c r="P29" s="203" t="s">
        <v>152</v>
      </c>
      <c r="Q29" s="203" t="s">
        <v>153</v>
      </c>
      <c r="R29" s="203" t="s">
        <v>154</v>
      </c>
      <c r="S29" s="203" t="s">
        <v>155</v>
      </c>
      <c r="T29" s="203" t="s">
        <v>156</v>
      </c>
      <c r="U29" s="203" t="s">
        <v>157</v>
      </c>
    </row>
    <row r="30" spans="1:24" s="9" customFormat="1" ht="15.75" x14ac:dyDescent="0.2">
      <c r="B30" s="33"/>
      <c r="C30" s="33"/>
      <c r="D30" s="33"/>
      <c r="E30" s="33"/>
      <c r="F30" s="34"/>
      <c r="G30" s="34"/>
      <c r="H30" s="34"/>
      <c r="J30" s="34"/>
      <c r="K30" s="34"/>
      <c r="L30" s="82"/>
      <c r="M30" s="82"/>
      <c r="N30" s="82"/>
      <c r="O30" s="82"/>
      <c r="P30" s="82"/>
      <c r="Q30" s="82"/>
      <c r="R30" s="82"/>
      <c r="S30" s="82"/>
      <c r="T30" s="82"/>
      <c r="U30" s="82"/>
    </row>
    <row r="31" spans="1:24" s="48" customFormat="1" ht="18.75" customHeight="1" x14ac:dyDescent="0.2">
      <c r="B31" s="47" t="s">
        <v>12</v>
      </c>
      <c r="C31" s="321">
        <f>C5</f>
        <v>550.1</v>
      </c>
      <c r="D31" s="321">
        <f>D5</f>
        <v>570.9</v>
      </c>
      <c r="E31" s="321">
        <v>510.72357</v>
      </c>
      <c r="F31" s="321">
        <v>335.59</v>
      </c>
      <c r="G31" s="321">
        <v>495.92099999999999</v>
      </c>
      <c r="H31" s="321">
        <v>465.7</v>
      </c>
      <c r="J31" s="61">
        <v>521.6</v>
      </c>
      <c r="K31" s="61">
        <v>492.19299999999998</v>
      </c>
      <c r="L31" s="61">
        <v>547.18399999999997</v>
      </c>
      <c r="M31" s="61">
        <v>651.1</v>
      </c>
      <c r="N31" s="61">
        <v>674.9</v>
      </c>
      <c r="O31" s="61">
        <v>606.29999999999995</v>
      </c>
      <c r="P31" s="61">
        <v>598.4</v>
      </c>
      <c r="Q31" s="61">
        <v>613.29999999999995</v>
      </c>
      <c r="R31" s="61">
        <v>598.4</v>
      </c>
      <c r="S31" s="61">
        <v>580.327</v>
      </c>
      <c r="T31" s="61">
        <v>562.1</v>
      </c>
      <c r="U31" s="68">
        <v>636.96</v>
      </c>
    </row>
    <row r="32" spans="1:24" s="43" customFormat="1" x14ac:dyDescent="0.2">
      <c r="C32" s="184"/>
      <c r="D32" s="322"/>
      <c r="E32" s="322"/>
      <c r="F32" s="322"/>
      <c r="G32" s="322"/>
      <c r="H32" s="322"/>
      <c r="J32" s="58"/>
      <c r="K32" s="58"/>
      <c r="L32" s="58"/>
      <c r="M32" s="58"/>
      <c r="N32" s="58"/>
      <c r="O32" s="58"/>
      <c r="P32" s="58"/>
      <c r="Q32" s="58"/>
      <c r="R32" s="58"/>
      <c r="S32" s="58"/>
      <c r="T32" s="58"/>
      <c r="U32" s="58"/>
    </row>
    <row r="33" spans="2:21" s="43" customFormat="1" x14ac:dyDescent="0.2">
      <c r="B33" s="49" t="s">
        <v>45</v>
      </c>
      <c r="C33" s="324">
        <f>C35-C31</f>
        <v>-231.5</v>
      </c>
      <c r="D33" s="324">
        <f>D35-D31</f>
        <v>-252.59999999999997</v>
      </c>
      <c r="E33" s="324">
        <v>-248.48713000000001</v>
      </c>
      <c r="F33" s="324">
        <v>-187.00700000000001</v>
      </c>
      <c r="G33" s="324">
        <v>-229.76400000000001</v>
      </c>
      <c r="H33" s="324" t="s">
        <v>181</v>
      </c>
      <c r="J33" s="60">
        <v>-245</v>
      </c>
      <c r="K33" s="60">
        <v>-238.09799999999998</v>
      </c>
      <c r="L33" s="60">
        <v>-259.98399999999998</v>
      </c>
      <c r="M33" s="60">
        <v>-256.5</v>
      </c>
      <c r="N33" s="60">
        <v>-265</v>
      </c>
      <c r="O33" s="60">
        <v>-222.8</v>
      </c>
      <c r="P33" s="60">
        <v>-226.3</v>
      </c>
      <c r="Q33" s="60">
        <v>-248</v>
      </c>
      <c r="R33" s="60">
        <v>-226.3</v>
      </c>
      <c r="S33" s="60">
        <v>-233.797</v>
      </c>
      <c r="T33" s="60">
        <v>-230.90000000000003</v>
      </c>
      <c r="U33" s="60">
        <v>-263.96000000000004</v>
      </c>
    </row>
    <row r="34" spans="2:21" s="43" customFormat="1" x14ac:dyDescent="0.2">
      <c r="C34" s="184"/>
      <c r="D34" s="322"/>
      <c r="E34" s="322"/>
      <c r="F34" s="322"/>
      <c r="G34" s="322"/>
      <c r="H34" s="322"/>
      <c r="J34" s="58"/>
      <c r="K34" s="58"/>
      <c r="L34" s="58"/>
      <c r="M34" s="58"/>
      <c r="N34" s="58"/>
      <c r="O34" s="58"/>
      <c r="P34" s="58"/>
      <c r="Q34" s="58"/>
      <c r="R34" s="58"/>
      <c r="S34" s="58"/>
      <c r="T34" s="58"/>
      <c r="U34" s="58"/>
    </row>
    <row r="35" spans="2:21" s="48" customFormat="1" x14ac:dyDescent="0.2">
      <c r="B35" s="47" t="s">
        <v>46</v>
      </c>
      <c r="C35" s="321">
        <f>C6</f>
        <v>318.60000000000002</v>
      </c>
      <c r="D35" s="321">
        <f>D6</f>
        <v>318.3</v>
      </c>
      <c r="E35" s="321">
        <v>262.23644000000002</v>
      </c>
      <c r="F35" s="321">
        <v>148.583</v>
      </c>
      <c r="G35" s="321">
        <v>266.15699999999998</v>
      </c>
      <c r="H35" s="321">
        <v>239.8</v>
      </c>
      <c r="J35" s="68">
        <v>276.60000000000002</v>
      </c>
      <c r="K35" s="68">
        <v>254.095</v>
      </c>
      <c r="L35" s="68">
        <v>287.2</v>
      </c>
      <c r="M35" s="68">
        <v>394.6</v>
      </c>
      <c r="N35" s="68">
        <v>409.9</v>
      </c>
      <c r="O35" s="68">
        <v>383.49999999999994</v>
      </c>
      <c r="P35" s="68">
        <v>372.09999999999997</v>
      </c>
      <c r="Q35" s="68">
        <v>365.29999999999995</v>
      </c>
      <c r="R35" s="68">
        <v>372.09999999999997</v>
      </c>
      <c r="S35" s="68">
        <v>346.53</v>
      </c>
      <c r="T35" s="68">
        <v>331.2</v>
      </c>
      <c r="U35" s="68">
        <v>373</v>
      </c>
    </row>
    <row r="36" spans="2:21" s="43" customFormat="1" x14ac:dyDescent="0.2">
      <c r="C36" s="184"/>
      <c r="D36" s="322"/>
      <c r="E36" s="322"/>
      <c r="F36" s="322"/>
      <c r="G36" s="322"/>
      <c r="H36" s="322"/>
      <c r="J36" s="58"/>
      <c r="K36" s="58"/>
      <c r="L36" s="58"/>
      <c r="M36" s="58"/>
      <c r="N36" s="58"/>
      <c r="O36" s="58"/>
      <c r="P36" s="58"/>
      <c r="Q36" s="58"/>
      <c r="R36" s="58"/>
      <c r="S36" s="58"/>
      <c r="T36" s="58"/>
      <c r="U36" s="58"/>
    </row>
    <row r="37" spans="2:21" s="43" customFormat="1" x14ac:dyDescent="0.2">
      <c r="B37" s="49" t="s">
        <v>47</v>
      </c>
      <c r="C37" s="324">
        <v>-222.17</v>
      </c>
      <c r="D37" s="324">
        <v>-219</v>
      </c>
      <c r="E37" s="324">
        <v>-188.07972000000001</v>
      </c>
      <c r="F37" s="324">
        <v>-149.95400000000001</v>
      </c>
      <c r="G37" s="324">
        <v>-192.87100000000001</v>
      </c>
      <c r="H37" s="324">
        <v>-186.5</v>
      </c>
      <c r="J37" s="60">
        <v>-207.8</v>
      </c>
      <c r="K37" s="60">
        <v>-202.33500000000001</v>
      </c>
      <c r="L37" s="60">
        <v>-216.6</v>
      </c>
      <c r="M37" s="60">
        <v>-272.60000000000002</v>
      </c>
      <c r="N37" s="60">
        <v>-283.3</v>
      </c>
      <c r="O37" s="60">
        <v>-250.8</v>
      </c>
      <c r="P37" s="60">
        <v>-242.1</v>
      </c>
      <c r="Q37" s="60">
        <v>-242.2</v>
      </c>
      <c r="R37" s="60">
        <v>-242.1</v>
      </c>
      <c r="S37" s="60">
        <v>-234.72300000000001</v>
      </c>
      <c r="T37" s="60">
        <v>-234.9</v>
      </c>
      <c r="U37" s="60">
        <v>-243</v>
      </c>
    </row>
    <row r="38" spans="2:21" s="43" customFormat="1" x14ac:dyDescent="0.2">
      <c r="B38" s="49" t="s">
        <v>48</v>
      </c>
      <c r="C38" s="324">
        <v>-67.415000000000006</v>
      </c>
      <c r="D38" s="324">
        <v>-62.5</v>
      </c>
      <c r="E38" s="324">
        <v>-59.049759999999999</v>
      </c>
      <c r="F38" s="324">
        <v>-56.715000000000003</v>
      </c>
      <c r="G38" s="324">
        <v>-60.853999999999999</v>
      </c>
      <c r="H38" s="324">
        <v>-64.8</v>
      </c>
      <c r="J38" s="60">
        <v>-64.3</v>
      </c>
      <c r="K38" s="60">
        <v>-69.052000000000007</v>
      </c>
      <c r="L38" s="60">
        <v>-85.3</v>
      </c>
      <c r="M38" s="60">
        <v>-85.1</v>
      </c>
      <c r="N38" s="60">
        <v>-84.1</v>
      </c>
      <c r="O38" s="60">
        <v>-78.5</v>
      </c>
      <c r="P38" s="60">
        <v>-75</v>
      </c>
      <c r="Q38" s="60">
        <v>-73.5</v>
      </c>
      <c r="R38" s="60">
        <v>-75</v>
      </c>
      <c r="S38" s="60">
        <v>-67.335999999999999</v>
      </c>
      <c r="T38" s="60">
        <v>-67.5</v>
      </c>
      <c r="U38" s="60">
        <v>-64.7</v>
      </c>
    </row>
    <row r="39" spans="2:21" s="43" customFormat="1" x14ac:dyDescent="0.2">
      <c r="B39" s="49" t="s">
        <v>49</v>
      </c>
      <c r="C39" s="324">
        <v>-10.185</v>
      </c>
      <c r="D39" s="324">
        <v>1.2</v>
      </c>
      <c r="E39" s="324">
        <v>7.2349100000000002</v>
      </c>
      <c r="F39" s="324">
        <v>-10.323</v>
      </c>
      <c r="G39" s="324">
        <v>-4.17</v>
      </c>
      <c r="H39" s="324">
        <v>17</v>
      </c>
      <c r="J39" s="60">
        <v>-5.6</v>
      </c>
      <c r="K39" s="60">
        <v>16.911000000000001</v>
      </c>
      <c r="L39" s="60">
        <v>17.960999999999999</v>
      </c>
      <c r="M39" s="60">
        <v>-6.6</v>
      </c>
      <c r="N39" s="60">
        <v>-1.8</v>
      </c>
      <c r="O39" s="60">
        <v>-2.8</v>
      </c>
      <c r="P39" s="60">
        <v>-7.7</v>
      </c>
      <c r="Q39" s="60">
        <v>1.6</v>
      </c>
      <c r="R39" s="60">
        <v>-7.7</v>
      </c>
      <c r="S39" s="60">
        <v>0.191</v>
      </c>
      <c r="T39" s="60">
        <v>-6.8000000000000007</v>
      </c>
      <c r="U39" s="60">
        <v>-0.3</v>
      </c>
    </row>
    <row r="40" spans="2:21" s="43" customFormat="1" ht="13.5" customHeight="1" x14ac:dyDescent="0.2">
      <c r="B40" s="50" t="s">
        <v>50</v>
      </c>
      <c r="C40" s="50"/>
      <c r="D40" s="324"/>
      <c r="E40" s="324"/>
      <c r="F40" s="324"/>
      <c r="G40" s="324">
        <v>-227.06200000000001</v>
      </c>
      <c r="H40" s="324" t="s">
        <v>57</v>
      </c>
      <c r="J40" s="60">
        <f>-13.2-227.1</f>
        <v>-240.29999999999998</v>
      </c>
      <c r="K40" s="60" t="s">
        <v>57</v>
      </c>
      <c r="L40" s="60" t="s">
        <v>57</v>
      </c>
      <c r="M40" s="60" t="s">
        <v>57</v>
      </c>
      <c r="N40" s="60" t="s">
        <v>57</v>
      </c>
      <c r="O40" s="60" t="s">
        <v>57</v>
      </c>
      <c r="P40" s="60" t="s">
        <v>57</v>
      </c>
      <c r="Q40" s="60" t="s">
        <v>57</v>
      </c>
      <c r="R40" s="60" t="s">
        <v>57</v>
      </c>
      <c r="S40" s="60" t="s">
        <v>57</v>
      </c>
      <c r="T40" s="60">
        <v>-120.69499999999999</v>
      </c>
      <c r="U40" s="60" t="s">
        <v>57</v>
      </c>
    </row>
    <row r="41" spans="2:21" s="43" customFormat="1" x14ac:dyDescent="0.2">
      <c r="C41" s="184"/>
      <c r="D41" s="322"/>
      <c r="E41" s="322"/>
      <c r="F41" s="322"/>
      <c r="G41" s="322"/>
      <c r="H41" s="322"/>
      <c r="J41" s="58"/>
      <c r="K41" s="58"/>
      <c r="L41" s="58"/>
      <c r="M41" s="58"/>
      <c r="N41" s="58"/>
      <c r="O41" s="58"/>
      <c r="P41" s="58"/>
      <c r="Q41" s="58"/>
      <c r="R41" s="58"/>
      <c r="S41" s="58"/>
      <c r="T41" s="58"/>
      <c r="U41" s="58"/>
    </row>
    <row r="42" spans="2:21" s="48" customFormat="1" x14ac:dyDescent="0.2">
      <c r="B42" s="47" t="s">
        <v>14</v>
      </c>
      <c r="C42" s="68">
        <f>C35+C37+C38+C39</f>
        <v>18.830000000000027</v>
      </c>
      <c r="D42" s="326">
        <f>D16</f>
        <v>38</v>
      </c>
      <c r="E42" s="326">
        <v>22.34187</v>
      </c>
      <c r="F42" s="326">
        <v>-68.409000000000006</v>
      </c>
      <c r="G42" s="326">
        <v>-218.8</v>
      </c>
      <c r="H42" s="326">
        <v>5.5</v>
      </c>
      <c r="J42" s="179">
        <v>-241.4</v>
      </c>
      <c r="K42" s="179">
        <v>-0.38100000000001444</v>
      </c>
      <c r="L42" s="179">
        <v>3.3</v>
      </c>
      <c r="M42" s="179">
        <v>30.4</v>
      </c>
      <c r="N42" s="179">
        <v>40.700000000000003</v>
      </c>
      <c r="O42" s="179">
        <v>51.5</v>
      </c>
      <c r="P42" s="179">
        <v>47.299999999999969</v>
      </c>
      <c r="Q42" s="179">
        <v>51.199999999999967</v>
      </c>
      <c r="R42" s="179">
        <v>47.299999999999969</v>
      </c>
      <c r="S42" s="179">
        <v>44.661999999999964</v>
      </c>
      <c r="T42" s="179">
        <v>-98.849000000000004</v>
      </c>
      <c r="U42" s="68">
        <v>65.099999999999994</v>
      </c>
    </row>
    <row r="43" spans="2:21" s="43" customFormat="1" x14ac:dyDescent="0.2">
      <c r="C43" s="184"/>
      <c r="D43" s="322"/>
      <c r="E43" s="322"/>
      <c r="F43" s="322"/>
      <c r="G43" s="322"/>
      <c r="H43" s="322"/>
      <c r="J43" s="58"/>
      <c r="K43" s="58"/>
      <c r="L43" s="58"/>
      <c r="M43" s="58"/>
      <c r="N43" s="58"/>
      <c r="O43" s="58"/>
      <c r="P43" s="58"/>
      <c r="Q43" s="58"/>
      <c r="R43" s="58"/>
      <c r="S43" s="58"/>
      <c r="T43" s="58"/>
      <c r="U43" s="58"/>
    </row>
    <row r="44" spans="2:21" s="43" customFormat="1" x14ac:dyDescent="0.2">
      <c r="B44" s="49" t="s">
        <v>313</v>
      </c>
      <c r="C44" s="324">
        <v>-8.5860000000000003</v>
      </c>
      <c r="D44" s="324">
        <v>8.6999999999999993</v>
      </c>
      <c r="E44" s="324">
        <v>-0.67271000000000003</v>
      </c>
      <c r="F44" s="324" t="s">
        <v>57</v>
      </c>
      <c r="G44" s="324" t="s">
        <v>57</v>
      </c>
      <c r="H44" s="324" t="s">
        <v>57</v>
      </c>
      <c r="I44" s="184"/>
      <c r="J44" s="324" t="s">
        <v>57</v>
      </c>
      <c r="K44" s="324" t="s">
        <v>57</v>
      </c>
      <c r="L44" s="324" t="s">
        <v>57</v>
      </c>
      <c r="M44" s="324" t="s">
        <v>57</v>
      </c>
      <c r="N44" s="324" t="s">
        <v>57</v>
      </c>
      <c r="O44" s="324" t="s">
        <v>57</v>
      </c>
      <c r="P44" s="324" t="s">
        <v>57</v>
      </c>
      <c r="Q44" s="324" t="s">
        <v>57</v>
      </c>
      <c r="R44" s="324" t="s">
        <v>57</v>
      </c>
      <c r="S44" s="324" t="s">
        <v>57</v>
      </c>
      <c r="T44" s="324" t="s">
        <v>57</v>
      </c>
      <c r="U44" s="324" t="s">
        <v>57</v>
      </c>
    </row>
    <row r="45" spans="2:21" s="43" customFormat="1" x14ac:dyDescent="0.2">
      <c r="B45" s="49" t="s">
        <v>51</v>
      </c>
      <c r="C45" s="324">
        <v>-9.4139999999999997</v>
      </c>
      <c r="D45" s="324">
        <v>-2.7</v>
      </c>
      <c r="E45" s="324">
        <v>-11.60511</v>
      </c>
      <c r="F45" s="324">
        <v>-11.58</v>
      </c>
      <c r="G45" s="324">
        <v>-2.8980000000000001</v>
      </c>
      <c r="H45" s="324">
        <v>-8.1</v>
      </c>
      <c r="J45" s="60">
        <v>-5</v>
      </c>
      <c r="K45" s="60">
        <v>-9.66</v>
      </c>
      <c r="L45" s="60">
        <v>-7.3</v>
      </c>
      <c r="M45" s="60">
        <v>0.8</v>
      </c>
      <c r="N45" s="60">
        <v>-23.8</v>
      </c>
      <c r="O45" s="60">
        <v>-5.4</v>
      </c>
      <c r="P45" s="60">
        <v>-15</v>
      </c>
      <c r="Q45" s="60">
        <v>-15.1</v>
      </c>
      <c r="R45" s="60">
        <v>-15</v>
      </c>
      <c r="S45" s="60">
        <v>-28.952999999999999</v>
      </c>
      <c r="T45" s="60">
        <v>-22.9</v>
      </c>
      <c r="U45" s="60">
        <v>-26.5</v>
      </c>
    </row>
    <row r="46" spans="2:21" s="48" customFormat="1" x14ac:dyDescent="0.2">
      <c r="B46" s="43"/>
      <c r="C46" s="184"/>
      <c r="D46" s="322"/>
      <c r="E46" s="322"/>
      <c r="F46" s="322"/>
      <c r="G46" s="322"/>
      <c r="H46" s="322"/>
      <c r="I46" s="43"/>
      <c r="J46" s="58"/>
      <c r="K46" s="58"/>
      <c r="L46" s="58"/>
      <c r="M46" s="58"/>
      <c r="N46" s="58"/>
      <c r="O46" s="58"/>
      <c r="P46" s="58"/>
      <c r="Q46" s="58"/>
      <c r="R46" s="58"/>
      <c r="S46" s="58"/>
      <c r="T46" s="58"/>
      <c r="U46" s="58"/>
    </row>
    <row r="47" spans="2:21" s="43" customFormat="1" x14ac:dyDescent="0.2">
      <c r="B47" s="47" t="s">
        <v>52</v>
      </c>
      <c r="C47" s="68">
        <f>C42+C44+C45</f>
        <v>0.83000000000002672</v>
      </c>
      <c r="D47" s="326">
        <v>44</v>
      </c>
      <c r="E47" s="326">
        <v>10.06405</v>
      </c>
      <c r="F47" s="326">
        <v>-79.989000000000004</v>
      </c>
      <c r="G47" s="326">
        <v>-221.69800000000001</v>
      </c>
      <c r="H47" s="326">
        <v>-2.5</v>
      </c>
      <c r="I47" s="48"/>
      <c r="J47" s="179">
        <v>-246.4</v>
      </c>
      <c r="K47" s="179">
        <v>-10.041000000000015</v>
      </c>
      <c r="L47" s="179">
        <v>-4</v>
      </c>
      <c r="M47" s="179">
        <v>31.2</v>
      </c>
      <c r="N47" s="179">
        <v>16.900000000000002</v>
      </c>
      <c r="O47" s="179">
        <v>46.1</v>
      </c>
      <c r="P47" s="179">
        <v>32.299999999999969</v>
      </c>
      <c r="Q47" s="179">
        <v>36.099999999999966</v>
      </c>
      <c r="R47" s="179">
        <v>32.299999999999969</v>
      </c>
      <c r="S47" s="179">
        <v>15.708999999999964</v>
      </c>
      <c r="T47" s="179">
        <v>-121.791</v>
      </c>
      <c r="U47" s="68">
        <v>38.619999999999997</v>
      </c>
    </row>
    <row r="48" spans="2:21" s="43" customFormat="1" x14ac:dyDescent="0.2">
      <c r="C48" s="184"/>
      <c r="D48" s="322"/>
      <c r="E48" s="322"/>
      <c r="F48" s="322"/>
      <c r="G48" s="322"/>
      <c r="H48" s="322"/>
      <c r="J48" s="58"/>
      <c r="K48" s="58"/>
      <c r="L48" s="58"/>
      <c r="M48" s="58"/>
      <c r="N48" s="58"/>
      <c r="O48" s="58"/>
      <c r="P48" s="58"/>
      <c r="Q48" s="58"/>
      <c r="R48" s="58"/>
      <c r="S48" s="58"/>
      <c r="T48" s="58"/>
      <c r="U48" s="58"/>
    </row>
    <row r="49" spans="2:24" s="43" customFormat="1" x14ac:dyDescent="0.2">
      <c r="B49" s="49" t="s">
        <v>183</v>
      </c>
      <c r="C49" s="324">
        <v>-10.209</v>
      </c>
      <c r="D49" s="324">
        <v>-11.7</v>
      </c>
      <c r="E49" s="324">
        <v>-7.5836300000000003</v>
      </c>
      <c r="F49" s="324">
        <v>5.6929999999999996</v>
      </c>
      <c r="G49" s="324">
        <v>-25.239000000000001</v>
      </c>
      <c r="H49" s="324">
        <v>-5.4</v>
      </c>
      <c r="J49" s="180">
        <f>0.3-27</f>
        <v>-26.7</v>
      </c>
      <c r="K49" s="180">
        <v>-3.8929999999999998</v>
      </c>
      <c r="L49" s="180">
        <v>-5.569</v>
      </c>
      <c r="M49" s="180">
        <v>-14.7</v>
      </c>
      <c r="N49" s="180">
        <v>-8.4</v>
      </c>
      <c r="O49" s="180">
        <v>-16.7</v>
      </c>
      <c r="P49" s="180">
        <v>-11.9</v>
      </c>
      <c r="Q49" s="180">
        <v>-13.7</v>
      </c>
      <c r="R49" s="60">
        <v>-11.9</v>
      </c>
      <c r="S49" s="60">
        <v>-17</v>
      </c>
      <c r="T49" s="60">
        <v>-13.4</v>
      </c>
      <c r="U49" s="60">
        <v>-15.7</v>
      </c>
    </row>
    <row r="50" spans="2:24" s="43" customFormat="1" x14ac:dyDescent="0.2">
      <c r="B50" s="49" t="s">
        <v>54</v>
      </c>
      <c r="C50" s="324">
        <v>-0.42399999999999999</v>
      </c>
      <c r="D50" s="324">
        <v>-0.4</v>
      </c>
      <c r="E50" s="324">
        <v>0.52012000000000003</v>
      </c>
      <c r="F50" s="331" t="s">
        <v>57</v>
      </c>
      <c r="G50" s="331" t="s">
        <v>57</v>
      </c>
      <c r="H50" s="331" t="s">
        <v>57</v>
      </c>
      <c r="J50" s="60" t="s">
        <v>57</v>
      </c>
      <c r="K50" s="60" t="s">
        <v>57</v>
      </c>
      <c r="L50" s="60" t="s">
        <v>57</v>
      </c>
      <c r="M50" s="60">
        <v>0.2</v>
      </c>
      <c r="N50" s="60">
        <v>0.1</v>
      </c>
      <c r="O50" s="60">
        <v>0.2</v>
      </c>
      <c r="P50" s="60">
        <v>0.3</v>
      </c>
      <c r="Q50" s="60">
        <v>0.9</v>
      </c>
      <c r="R50" s="60">
        <v>0.3</v>
      </c>
      <c r="S50" s="60">
        <v>1.9790000000000001</v>
      </c>
      <c r="T50" s="60">
        <v>0.8</v>
      </c>
      <c r="U50" s="60">
        <v>1.9</v>
      </c>
    </row>
    <row r="51" spans="2:24" s="48" customFormat="1" x14ac:dyDescent="0.2">
      <c r="B51" s="52"/>
      <c r="C51" s="52"/>
      <c r="D51" s="322"/>
      <c r="E51" s="322"/>
      <c r="F51" s="299"/>
      <c r="G51" s="299"/>
      <c r="H51" s="299"/>
      <c r="I51" s="43"/>
      <c r="J51" s="60"/>
      <c r="K51" s="60"/>
      <c r="L51" s="60"/>
      <c r="M51" s="60"/>
      <c r="N51" s="60"/>
      <c r="O51" s="60"/>
      <c r="P51" s="60"/>
      <c r="Q51" s="60"/>
      <c r="R51" s="60"/>
      <c r="S51" s="60"/>
      <c r="T51" s="60"/>
      <c r="U51" s="60"/>
    </row>
    <row r="52" spans="2:24" s="43" customFormat="1" x14ac:dyDescent="0.2">
      <c r="B52" s="47" t="s">
        <v>55</v>
      </c>
      <c r="C52" s="326">
        <f>C47+C49-C50</f>
        <v>-8.9549999999999734</v>
      </c>
      <c r="D52" s="326">
        <f>D47+D49-D50</f>
        <v>32.699999999999996</v>
      </c>
      <c r="E52" s="326">
        <v>1.96028</v>
      </c>
      <c r="F52" s="326">
        <v>-74.296999999999997</v>
      </c>
      <c r="G52" s="326">
        <v>-246.93799999999999</v>
      </c>
      <c r="H52" s="326">
        <v>-7.9</v>
      </c>
      <c r="I52" s="48"/>
      <c r="J52" s="179">
        <v>-273.2</v>
      </c>
      <c r="K52" s="179">
        <v>-13.934000000000015</v>
      </c>
      <c r="L52" s="179">
        <v>-9.6</v>
      </c>
      <c r="M52" s="179">
        <v>16.3</v>
      </c>
      <c r="N52" s="179">
        <v>8.4</v>
      </c>
      <c r="O52" s="179">
        <v>29.3</v>
      </c>
      <c r="P52" s="179">
        <v>20.099999999999969</v>
      </c>
      <c r="Q52" s="179">
        <v>21.499999999999968</v>
      </c>
      <c r="R52" s="179">
        <v>20.099999999999969</v>
      </c>
      <c r="S52" s="179">
        <v>-3.3</v>
      </c>
      <c r="T52" s="179">
        <v>-136.01499999999999</v>
      </c>
      <c r="U52" s="68">
        <v>21.07</v>
      </c>
    </row>
    <row r="53" spans="2:24" s="43" customFormat="1" x14ac:dyDescent="0.2">
      <c r="C53" s="184"/>
      <c r="D53" s="322"/>
      <c r="E53" s="322"/>
      <c r="F53" s="322"/>
      <c r="G53" s="322"/>
      <c r="H53" s="322"/>
      <c r="J53" s="181"/>
      <c r="K53" s="181"/>
      <c r="L53" s="181"/>
      <c r="M53" s="181"/>
      <c r="N53" s="181"/>
      <c r="O53" s="181"/>
      <c r="P53" s="181"/>
      <c r="Q53" s="181"/>
      <c r="R53" s="181"/>
      <c r="S53" s="181"/>
      <c r="T53" s="181"/>
      <c r="U53" s="181"/>
    </row>
    <row r="54" spans="2:24" s="48" customFormat="1" x14ac:dyDescent="0.2">
      <c r="B54" s="43"/>
      <c r="C54" s="184"/>
      <c r="D54" s="322"/>
      <c r="E54" s="322"/>
      <c r="F54" s="322"/>
      <c r="G54" s="322"/>
      <c r="H54" s="322"/>
      <c r="I54" s="43"/>
      <c r="J54" s="182"/>
      <c r="K54" s="182"/>
      <c r="L54" s="182"/>
      <c r="M54" s="182"/>
      <c r="N54" s="182"/>
      <c r="O54" s="182"/>
      <c r="P54" s="182"/>
      <c r="Q54" s="182"/>
      <c r="R54" s="182"/>
      <c r="S54" s="182"/>
      <c r="T54" s="182"/>
      <c r="U54" s="182"/>
    </row>
    <row r="55" spans="2:24" s="43" customFormat="1" x14ac:dyDescent="0.2">
      <c r="B55" s="47" t="s">
        <v>0</v>
      </c>
      <c r="C55" s="78">
        <f>C11</f>
        <v>44.6</v>
      </c>
      <c r="D55" s="78">
        <f>D11</f>
        <v>62.1</v>
      </c>
      <c r="E55" s="78">
        <v>51.040999999999997</v>
      </c>
      <c r="F55" s="78">
        <v>-38.6</v>
      </c>
      <c r="G55" s="327">
        <v>26.1</v>
      </c>
      <c r="H55" s="327">
        <v>26.8</v>
      </c>
      <c r="I55" s="48"/>
      <c r="J55" s="183">
        <v>33</v>
      </c>
      <c r="K55" s="183">
        <v>21.68</v>
      </c>
      <c r="L55" s="183">
        <v>24.149000000000001</v>
      </c>
      <c r="M55" s="183">
        <v>52.2</v>
      </c>
      <c r="N55" s="183">
        <v>60.3</v>
      </c>
      <c r="O55" s="64">
        <v>68.7</v>
      </c>
      <c r="P55" s="64">
        <v>65</v>
      </c>
      <c r="Q55" s="64">
        <v>70.7</v>
      </c>
      <c r="R55" s="64">
        <v>80.2</v>
      </c>
      <c r="S55" s="64">
        <v>64.8</v>
      </c>
      <c r="T55" s="64">
        <v>44.1</v>
      </c>
      <c r="U55" s="64">
        <v>85.2</v>
      </c>
    </row>
    <row r="56" spans="2:24" s="48" customFormat="1" x14ac:dyDescent="0.2">
      <c r="B56" s="43"/>
      <c r="C56" s="322"/>
      <c r="D56" s="322"/>
      <c r="E56" s="322"/>
      <c r="F56" s="322"/>
      <c r="G56" s="322"/>
      <c r="H56" s="322"/>
      <c r="I56" s="43"/>
      <c r="J56" s="65"/>
      <c r="K56" s="65"/>
      <c r="L56" s="58"/>
      <c r="M56" s="58"/>
      <c r="N56" s="58"/>
      <c r="O56" s="58"/>
      <c r="P56" s="58"/>
      <c r="Q56" s="43"/>
      <c r="R56" s="43"/>
      <c r="S56" s="43"/>
      <c r="T56" s="43"/>
      <c r="U56" s="43"/>
    </row>
    <row r="57" spans="2:24" s="187" customFormat="1" x14ac:dyDescent="0.2">
      <c r="B57" s="47" t="s">
        <v>366</v>
      </c>
      <c r="C57" s="78">
        <v>323.61700000000002</v>
      </c>
      <c r="D57" s="440"/>
      <c r="E57" s="440"/>
      <c r="F57" s="440"/>
      <c r="G57" s="440"/>
      <c r="H57" s="440"/>
      <c r="I57" s="184"/>
      <c r="J57" s="65"/>
      <c r="K57" s="65"/>
      <c r="L57" s="58"/>
      <c r="M57" s="58"/>
      <c r="N57" s="58"/>
      <c r="O57" s="58"/>
      <c r="P57" s="58"/>
      <c r="Q57" s="184"/>
      <c r="R57" s="184"/>
      <c r="S57" s="184"/>
      <c r="T57" s="184"/>
      <c r="U57" s="184"/>
    </row>
    <row r="58" spans="2:24" s="187" customFormat="1" x14ac:dyDescent="0.2">
      <c r="B58" s="184"/>
      <c r="C58" s="322"/>
      <c r="D58" s="322"/>
      <c r="E58" s="322"/>
      <c r="F58" s="322"/>
      <c r="G58" s="322"/>
      <c r="H58" s="322"/>
      <c r="I58" s="184"/>
      <c r="J58" s="65"/>
      <c r="K58" s="65"/>
      <c r="L58" s="58"/>
      <c r="M58" s="58"/>
      <c r="N58" s="58"/>
      <c r="O58" s="58"/>
      <c r="P58" s="58"/>
      <c r="Q58" s="184"/>
      <c r="R58" s="184"/>
      <c r="S58" s="184"/>
      <c r="T58" s="184"/>
      <c r="U58" s="184"/>
    </row>
    <row r="59" spans="2:24" s="43" customFormat="1" x14ac:dyDescent="0.2">
      <c r="B59" s="47" t="s">
        <v>41</v>
      </c>
      <c r="C59" s="78">
        <f>C13</f>
        <v>57.3</v>
      </c>
      <c r="D59" s="78">
        <f>D13</f>
        <v>62.6</v>
      </c>
      <c r="E59" s="78">
        <v>49.667983999999997</v>
      </c>
      <c r="F59" s="78">
        <v>-28.3</v>
      </c>
      <c r="G59" s="78">
        <v>65.400000000000006</v>
      </c>
      <c r="H59" s="78">
        <v>30.3</v>
      </c>
      <c r="I59" s="48"/>
      <c r="J59" s="183">
        <v>39.299999999999997</v>
      </c>
      <c r="K59" s="183">
        <v>25.146999999999998</v>
      </c>
      <c r="L59" s="183">
        <v>27.798999999999999</v>
      </c>
      <c r="M59" s="183">
        <v>58.3</v>
      </c>
      <c r="N59" s="183">
        <v>62.7</v>
      </c>
      <c r="O59" s="64">
        <v>71.7</v>
      </c>
      <c r="P59" s="64">
        <v>72.400000000000006</v>
      </c>
      <c r="Q59" s="64"/>
      <c r="R59" s="64"/>
      <c r="S59" s="64"/>
      <c r="T59" s="64">
        <v>51.5</v>
      </c>
      <c r="U59" s="64"/>
    </row>
    <row r="60" spans="2:24" s="48" customFormat="1" x14ac:dyDescent="0.2">
      <c r="B60" s="43"/>
      <c r="C60" s="328"/>
      <c r="D60" s="328"/>
      <c r="E60" s="328"/>
      <c r="F60" s="328"/>
      <c r="G60" s="328"/>
      <c r="H60" s="328"/>
      <c r="I60" s="43"/>
      <c r="J60" s="64"/>
      <c r="K60" s="64"/>
      <c r="L60" s="64"/>
      <c r="M60" s="190"/>
      <c r="N60" s="190"/>
      <c r="O60" s="190"/>
      <c r="P60" s="190"/>
      <c r="Q60" s="190"/>
      <c r="R60" s="190"/>
      <c r="S60" s="190"/>
      <c r="T60" s="190"/>
      <c r="U60" s="190"/>
    </row>
    <row r="61" spans="2:24" s="43" customFormat="1" x14ac:dyDescent="0.2">
      <c r="B61" s="47" t="s">
        <v>42</v>
      </c>
      <c r="C61" s="78">
        <f>C18</f>
        <v>35.1</v>
      </c>
      <c r="D61" s="78">
        <f>D18</f>
        <v>39.200000000000003</v>
      </c>
      <c r="E61" s="78">
        <v>24.666270000000001</v>
      </c>
      <c r="F61" s="78">
        <v>-55.2</v>
      </c>
      <c r="G61" s="78">
        <v>3.7</v>
      </c>
      <c r="H61" s="78">
        <v>9.1</v>
      </c>
      <c r="I61" s="48"/>
      <c r="J61" s="183">
        <v>5.3</v>
      </c>
      <c r="K61" s="183">
        <v>3.149</v>
      </c>
      <c r="L61" s="183">
        <v>6.9790000000000001</v>
      </c>
      <c r="M61" s="183">
        <v>37.5</v>
      </c>
      <c r="N61" s="183">
        <v>43.1</v>
      </c>
      <c r="O61" s="64">
        <v>54.5</v>
      </c>
      <c r="P61" s="64">
        <v>54.7</v>
      </c>
      <c r="Q61" s="64"/>
      <c r="R61" s="64"/>
      <c r="S61" s="64"/>
      <c r="T61" s="179">
        <v>29.268000000000001</v>
      </c>
      <c r="U61" s="64"/>
    </row>
    <row r="62" spans="2:24" s="48" customFormat="1" x14ac:dyDescent="0.2">
      <c r="B62" s="54"/>
      <c r="C62" s="328"/>
      <c r="D62" s="328"/>
      <c r="E62" s="328"/>
      <c r="F62" s="328"/>
      <c r="G62" s="328"/>
      <c r="H62" s="328"/>
      <c r="I62" s="43"/>
      <c r="J62" s="64"/>
      <c r="K62" s="64"/>
      <c r="L62" s="64"/>
      <c r="M62" s="190"/>
      <c r="N62" s="190"/>
      <c r="O62" s="190"/>
      <c r="P62" s="190"/>
      <c r="Q62" s="190"/>
      <c r="R62" s="190"/>
      <c r="S62" s="190"/>
      <c r="T62" s="190"/>
      <c r="U62" s="190"/>
    </row>
    <row r="63" spans="2:24" x14ac:dyDescent="0.2">
      <c r="B63" s="47" t="s">
        <v>43</v>
      </c>
      <c r="C63" s="78">
        <f>C23</f>
        <v>6.9</v>
      </c>
      <c r="D63" s="78">
        <f>D23</f>
        <v>33.700000000000003</v>
      </c>
      <c r="E63" s="78">
        <v>4.3696800000000007</v>
      </c>
      <c r="F63" s="78">
        <v>-63.7</v>
      </c>
      <c r="G63" s="78">
        <v>-6</v>
      </c>
      <c r="H63" s="78">
        <v>-4.3</v>
      </c>
      <c r="I63" s="48"/>
      <c r="J63" s="179">
        <v>0.6</v>
      </c>
      <c r="K63" s="179">
        <v>-10.355</v>
      </c>
      <c r="L63" s="179">
        <v>-6.6020000000000003</v>
      </c>
      <c r="M63" s="183">
        <v>22.9</v>
      </c>
      <c r="N63" s="183">
        <v>9.9</v>
      </c>
      <c r="O63" s="64">
        <v>31.5</v>
      </c>
      <c r="P63" s="64">
        <v>25.6</v>
      </c>
      <c r="Q63" s="64"/>
      <c r="R63" s="64"/>
      <c r="S63" s="64"/>
      <c r="T63" s="179">
        <v>-7.8979999999999997</v>
      </c>
      <c r="U63" s="64"/>
      <c r="V63" s="43"/>
      <c r="W63" s="43"/>
      <c r="X63" s="43"/>
    </row>
    <row r="64" spans="2:24" ht="23.25" customHeight="1" x14ac:dyDescent="0.2">
      <c r="B64" s="43"/>
      <c r="C64" s="184"/>
      <c r="D64" s="184"/>
      <c r="E64" s="184"/>
      <c r="F64" s="322"/>
      <c r="G64" s="322"/>
      <c r="H64" s="322"/>
      <c r="I64" s="43"/>
      <c r="J64" s="43"/>
      <c r="K64" s="43"/>
      <c r="L64" s="58"/>
      <c r="M64" s="58"/>
      <c r="N64" s="58"/>
      <c r="O64" s="58"/>
      <c r="P64" s="58"/>
      <c r="Q64" s="58"/>
      <c r="R64" s="58"/>
      <c r="S64" s="58"/>
      <c r="T64" s="73"/>
      <c r="U64" s="65"/>
      <c r="V64" s="43"/>
      <c r="W64" s="43"/>
      <c r="X64" s="43"/>
    </row>
    <row r="65" spans="1:55" ht="20.25" customHeight="1" x14ac:dyDescent="0.2">
      <c r="A65" s="24" t="s">
        <v>11</v>
      </c>
      <c r="B65" s="451" t="s">
        <v>327</v>
      </c>
      <c r="C65" s="451"/>
      <c r="D65" s="451"/>
      <c r="E65" s="451"/>
      <c r="F65" s="451"/>
      <c r="G65" s="452"/>
      <c r="H65" s="452"/>
      <c r="I65" s="452"/>
      <c r="J65" s="452"/>
      <c r="K65" s="452"/>
      <c r="L65" s="453"/>
      <c r="M65" s="453"/>
      <c r="N65" s="453"/>
      <c r="O65" s="58"/>
      <c r="P65" s="58"/>
      <c r="Q65" s="58"/>
      <c r="R65" s="58"/>
      <c r="S65" s="58"/>
      <c r="T65" s="73"/>
      <c r="U65" s="65"/>
      <c r="V65" s="184"/>
      <c r="W65" s="184"/>
      <c r="X65" s="184"/>
    </row>
    <row r="66" spans="1:55" s="19" customFormat="1" ht="28.5" customHeight="1" x14ac:dyDescent="0.2">
      <c r="A66" s="20" t="s">
        <v>39</v>
      </c>
      <c r="B66" s="451" t="s">
        <v>304</v>
      </c>
      <c r="C66" s="451"/>
      <c r="D66" s="451"/>
      <c r="E66" s="451"/>
      <c r="F66" s="451"/>
      <c r="G66" s="452"/>
      <c r="H66" s="452"/>
      <c r="I66" s="452"/>
      <c r="J66" s="452"/>
      <c r="K66" s="452"/>
      <c r="L66" s="453"/>
      <c r="M66" s="453"/>
      <c r="N66" s="453"/>
      <c r="O66" s="26"/>
      <c r="P66" s="26"/>
      <c r="Q66" s="26"/>
      <c r="R66" s="26"/>
      <c r="S66" s="26"/>
      <c r="T66" s="26"/>
      <c r="U66" s="26"/>
    </row>
    <row r="67" spans="1:55" s="19" customFormat="1" ht="28.5" customHeight="1" x14ac:dyDescent="0.2">
      <c r="A67" s="20"/>
      <c r="B67" s="370"/>
      <c r="C67" s="435"/>
      <c r="D67" s="421"/>
      <c r="E67" s="370"/>
      <c r="F67" s="370"/>
      <c r="G67" s="371"/>
      <c r="H67" s="371"/>
      <c r="I67" s="371"/>
      <c r="J67" s="371"/>
      <c r="K67" s="371"/>
      <c r="L67" s="372"/>
      <c r="M67" s="372"/>
      <c r="N67" s="372"/>
      <c r="O67" s="26"/>
      <c r="P67" s="26"/>
      <c r="Q67" s="26"/>
      <c r="R67" s="26"/>
      <c r="S67" s="26"/>
      <c r="T67" s="26"/>
      <c r="U67" s="26"/>
    </row>
    <row r="68" spans="1:55" ht="19.5" customHeight="1" x14ac:dyDescent="0.2">
      <c r="A68" s="22" t="s">
        <v>9</v>
      </c>
      <c r="B68" s="454" t="s">
        <v>367</v>
      </c>
      <c r="C68" s="454"/>
      <c r="D68" s="454"/>
      <c r="E68" s="454"/>
      <c r="F68" s="454"/>
      <c r="G68" s="454"/>
      <c r="H68" s="454"/>
      <c r="I68" s="454"/>
      <c r="J68" s="454"/>
      <c r="K68" s="454"/>
      <c r="L68" s="454"/>
      <c r="M68" s="455"/>
      <c r="N68" s="456"/>
      <c r="O68" s="456"/>
      <c r="P68" s="456"/>
      <c r="Q68" s="456"/>
      <c r="R68" s="456"/>
      <c r="S68" s="456"/>
      <c r="T68"/>
      <c r="U68"/>
    </row>
    <row r="69" spans="1:55" s="19" customFormat="1" ht="20.25" customHeight="1" x14ac:dyDescent="0.2">
      <c r="B69" s="454" t="s">
        <v>355</v>
      </c>
      <c r="C69" s="454"/>
      <c r="D69" s="454"/>
      <c r="E69" s="454"/>
      <c r="F69" s="454"/>
      <c r="G69" s="454"/>
      <c r="H69" s="454"/>
      <c r="I69" s="454"/>
      <c r="J69" s="454"/>
      <c r="K69" s="454"/>
      <c r="L69" s="454"/>
      <c r="M69" s="455"/>
      <c r="N69" s="456"/>
      <c r="O69" s="456"/>
      <c r="P69" s="456"/>
      <c r="Q69" s="456"/>
      <c r="R69" s="456"/>
      <c r="S69" s="456"/>
      <c r="T69" s="454"/>
      <c r="U69" s="454"/>
      <c r="V69" s="454"/>
      <c r="W69" s="454"/>
      <c r="X69" s="454"/>
      <c r="Y69" s="454"/>
      <c r="Z69" s="454"/>
      <c r="AA69" s="454"/>
      <c r="AB69" s="454"/>
      <c r="AC69" s="454"/>
      <c r="AD69" s="455"/>
      <c r="AE69" s="456"/>
      <c r="AF69" s="456"/>
      <c r="AG69" s="456"/>
      <c r="AH69" s="456"/>
      <c r="AI69" s="456"/>
      <c r="AJ69" s="456"/>
      <c r="AK69" s="454"/>
      <c r="AL69" s="454"/>
      <c r="AM69" s="454"/>
      <c r="AN69" s="454"/>
      <c r="AO69" s="454"/>
      <c r="AP69" s="454"/>
      <c r="AQ69" s="454"/>
      <c r="AR69" s="454"/>
      <c r="AS69" s="454"/>
      <c r="AT69" s="454"/>
      <c r="AU69" s="455"/>
      <c r="AV69" s="456"/>
      <c r="AW69" s="456"/>
      <c r="AX69" s="456"/>
      <c r="AY69" s="456"/>
      <c r="AZ69" s="456"/>
      <c r="BA69" s="456"/>
      <c r="BB69" s="454"/>
      <c r="BC69" s="454"/>
    </row>
    <row r="70" spans="1:55" ht="30.75" customHeight="1" x14ac:dyDescent="0.2">
      <c r="A70" s="22"/>
      <c r="B70" s="454" t="s">
        <v>337</v>
      </c>
      <c r="C70" s="454"/>
      <c r="D70" s="454"/>
      <c r="E70" s="454"/>
      <c r="F70" s="454"/>
      <c r="G70" s="454"/>
      <c r="H70" s="454"/>
      <c r="I70" s="454"/>
      <c r="J70" s="454"/>
      <c r="K70" s="454"/>
      <c r="L70" s="454"/>
      <c r="M70" s="454"/>
      <c r="N70" s="454"/>
      <c r="O70" s="454"/>
      <c r="P70" s="454"/>
      <c r="Q70" s="454"/>
      <c r="R70" s="454"/>
      <c r="S70" s="454"/>
    </row>
    <row r="71" spans="1:55" ht="22.5" customHeight="1" x14ac:dyDescent="0.2">
      <c r="A71" s="22"/>
      <c r="B71" s="454" t="s">
        <v>173</v>
      </c>
      <c r="C71" s="454"/>
      <c r="D71" s="454"/>
      <c r="E71" s="454"/>
      <c r="F71" s="454"/>
      <c r="G71" s="454"/>
      <c r="H71" s="454"/>
      <c r="I71" s="454"/>
      <c r="J71" s="454"/>
      <c r="K71" s="454"/>
      <c r="L71" s="454"/>
      <c r="M71" s="454"/>
      <c r="N71" s="454"/>
      <c r="O71" s="454"/>
      <c r="P71" s="454"/>
      <c r="Q71" s="454"/>
      <c r="R71" s="454"/>
      <c r="S71" s="454"/>
    </row>
    <row r="72" spans="1:55" ht="22.5" customHeight="1" x14ac:dyDescent="0.2">
      <c r="B72" s="454" t="s">
        <v>184</v>
      </c>
      <c r="C72" s="454"/>
      <c r="D72" s="454"/>
      <c r="E72" s="454"/>
      <c r="F72" s="454"/>
      <c r="G72" s="454"/>
      <c r="H72" s="454"/>
      <c r="I72" s="454"/>
      <c r="J72" s="454"/>
      <c r="K72" s="454"/>
      <c r="L72" s="454"/>
      <c r="M72" s="454"/>
      <c r="N72" s="454"/>
      <c r="O72" s="454"/>
      <c r="P72" s="454"/>
      <c r="Q72" s="454"/>
      <c r="R72" s="454"/>
      <c r="S72" s="454"/>
    </row>
    <row r="73" spans="1:55" ht="22.5" customHeight="1" x14ac:dyDescent="0.2">
      <c r="B73" s="454" t="s">
        <v>174</v>
      </c>
      <c r="C73" s="454"/>
      <c r="D73" s="454"/>
      <c r="E73" s="454"/>
      <c r="F73" s="454"/>
      <c r="G73" s="454"/>
      <c r="H73" s="454"/>
      <c r="I73" s="454"/>
      <c r="J73" s="454"/>
      <c r="K73" s="454"/>
      <c r="L73" s="454"/>
      <c r="M73" s="454"/>
      <c r="N73" s="454"/>
      <c r="O73" s="454"/>
      <c r="P73" s="454"/>
      <c r="Q73" s="454"/>
      <c r="R73" s="454"/>
      <c r="S73" s="454"/>
      <c r="T73" s="75"/>
    </row>
    <row r="74" spans="1:55" ht="22.5" customHeight="1" x14ac:dyDescent="0.2">
      <c r="A74" s="15"/>
      <c r="B74" s="454" t="s">
        <v>175</v>
      </c>
      <c r="C74" s="454"/>
      <c r="D74" s="454"/>
      <c r="E74" s="454"/>
      <c r="F74" s="454"/>
      <c r="G74" s="454"/>
      <c r="H74" s="454"/>
      <c r="I74" s="454"/>
      <c r="J74" s="454"/>
      <c r="K74" s="454"/>
      <c r="L74" s="454"/>
      <c r="M74" s="454"/>
      <c r="N74" s="454"/>
      <c r="O74" s="454"/>
      <c r="P74" s="454"/>
      <c r="Q74" s="454"/>
      <c r="R74" s="454"/>
      <c r="S74" s="454"/>
      <c r="T74" s="75"/>
    </row>
    <row r="75" spans="1:55" ht="22.5" customHeight="1" x14ac:dyDescent="0.2">
      <c r="B75" s="454" t="s">
        <v>176</v>
      </c>
      <c r="C75" s="454"/>
      <c r="D75" s="454"/>
      <c r="E75" s="454"/>
      <c r="F75" s="454"/>
      <c r="G75" s="454"/>
      <c r="H75" s="454"/>
      <c r="I75" s="454"/>
      <c r="J75" s="454"/>
      <c r="K75" s="454"/>
      <c r="L75" s="454"/>
      <c r="M75" s="454"/>
      <c r="N75" s="454"/>
      <c r="O75" s="454"/>
      <c r="P75" s="454"/>
      <c r="Q75" s="454"/>
      <c r="R75" s="454"/>
      <c r="S75" s="454"/>
      <c r="T75" s="75"/>
    </row>
    <row r="76" spans="1:55" ht="21" customHeight="1" x14ac:dyDescent="0.2">
      <c r="B76" s="454" t="s">
        <v>177</v>
      </c>
      <c r="C76" s="454"/>
      <c r="D76" s="454"/>
      <c r="E76" s="454"/>
      <c r="F76" s="454"/>
      <c r="G76" s="454"/>
      <c r="H76" s="454"/>
      <c r="I76" s="454"/>
      <c r="J76" s="454"/>
      <c r="K76" s="454"/>
      <c r="L76" s="454"/>
      <c r="M76" s="454"/>
      <c r="N76" s="454"/>
      <c r="O76" s="454"/>
      <c r="P76" s="454"/>
      <c r="Q76" s="454"/>
      <c r="R76" s="454"/>
      <c r="S76" s="454"/>
      <c r="T76" s="23"/>
      <c r="U76" s="23"/>
      <c r="V76" s="23"/>
      <c r="W76" s="23"/>
      <c r="X76" s="23"/>
    </row>
    <row r="77" spans="1:55" s="191" customFormat="1" ht="21" customHeight="1" x14ac:dyDescent="0.2">
      <c r="B77" s="454" t="s">
        <v>178</v>
      </c>
      <c r="C77" s="454"/>
      <c r="D77" s="454"/>
      <c r="E77" s="454"/>
      <c r="F77" s="454"/>
      <c r="G77" s="454"/>
      <c r="H77" s="454"/>
      <c r="I77" s="454"/>
      <c r="J77" s="454"/>
      <c r="K77" s="454"/>
      <c r="L77" s="454"/>
      <c r="M77" s="454"/>
      <c r="N77" s="454"/>
      <c r="O77" s="454"/>
      <c r="P77" s="454"/>
      <c r="Q77" s="454"/>
      <c r="R77" s="454"/>
      <c r="S77" s="454"/>
      <c r="T77" s="23"/>
      <c r="U77" s="23"/>
      <c r="V77" s="23"/>
      <c r="W77" s="23"/>
      <c r="X77" s="23"/>
    </row>
    <row r="78" spans="1:55" s="191" customFormat="1" ht="21" customHeight="1" x14ac:dyDescent="0.2">
      <c r="B78" s="457" t="s">
        <v>179</v>
      </c>
      <c r="C78" s="457"/>
      <c r="D78" s="457"/>
      <c r="E78" s="457"/>
      <c r="F78" s="457"/>
      <c r="G78" s="457"/>
      <c r="H78" s="457"/>
      <c r="I78" s="457"/>
      <c r="J78" s="457"/>
      <c r="K78" s="457"/>
      <c r="L78" s="457"/>
      <c r="M78" s="457"/>
      <c r="N78" s="457"/>
      <c r="O78" s="457"/>
      <c r="P78" s="457"/>
      <c r="Q78" s="457"/>
      <c r="R78" s="457"/>
      <c r="S78" s="457"/>
      <c r="T78" s="23"/>
      <c r="U78" s="23"/>
      <c r="V78" s="23"/>
      <c r="W78" s="23"/>
      <c r="X78" s="23"/>
    </row>
    <row r="79" spans="1:55" s="191" customFormat="1" ht="21" customHeight="1" x14ac:dyDescent="0.2">
      <c r="B79" s="457" t="s">
        <v>180</v>
      </c>
      <c r="C79" s="457"/>
      <c r="D79" s="457"/>
      <c r="E79" s="457"/>
      <c r="F79" s="457"/>
      <c r="G79" s="457"/>
      <c r="H79" s="457"/>
      <c r="I79" s="457"/>
      <c r="J79" s="457"/>
      <c r="K79" s="457"/>
      <c r="L79" s="457"/>
      <c r="M79" s="457"/>
      <c r="N79" s="457"/>
      <c r="O79" s="457"/>
      <c r="P79" s="457"/>
      <c r="Q79" s="457"/>
      <c r="R79" s="457"/>
      <c r="S79" s="457"/>
      <c r="T79" s="23"/>
      <c r="U79" s="23"/>
      <c r="V79" s="23"/>
      <c r="W79" s="23"/>
      <c r="X79" s="23"/>
    </row>
  </sheetData>
  <mergeCells count="17">
    <mergeCell ref="B74:S74"/>
    <mergeCell ref="B73:S73"/>
    <mergeCell ref="B70:S70"/>
    <mergeCell ref="B72:S72"/>
    <mergeCell ref="B71:S71"/>
    <mergeCell ref="B75:S75"/>
    <mergeCell ref="B76:S76"/>
    <mergeCell ref="B77:S77"/>
    <mergeCell ref="B78:S78"/>
    <mergeCell ref="B79:S79"/>
    <mergeCell ref="AK69:BA69"/>
    <mergeCell ref="BB69:BC69"/>
    <mergeCell ref="B66:N66"/>
    <mergeCell ref="B65:N65"/>
    <mergeCell ref="B69:S69"/>
    <mergeCell ref="B68:S68"/>
    <mergeCell ref="T69:AJ69"/>
  </mergeCells>
  <printOptions horizontalCentered="1"/>
  <pageMargins left="0.74803149606299213" right="0.74803149606299213" top="0.98425196850393704" bottom="0.98425196850393704" header="0.51181102362204722" footer="0.51181102362204722"/>
  <pageSetup paperSize="8"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3634-ECA5-43D2-93D5-4D1F76755BBE}">
  <sheetPr>
    <pageSetUpPr fitToPage="1"/>
  </sheetPr>
  <dimension ref="A1:DL103"/>
  <sheetViews>
    <sheetView showGridLines="0" topLeftCell="A4" zoomScaleNormal="100" workbookViewId="0">
      <selection activeCell="B30" sqref="B30:BJ30"/>
    </sheetView>
  </sheetViews>
  <sheetFormatPr defaultRowHeight="12.75" x14ac:dyDescent="0.2"/>
  <cols>
    <col min="1" max="1" width="3.5703125" customWidth="1"/>
    <col min="2" max="2" width="36.42578125" customWidth="1"/>
    <col min="3" max="7" width="16.28515625" customWidth="1"/>
    <col min="8" max="8" width="11.85546875" style="9" customWidth="1"/>
    <col min="9" max="13" width="16.28515625" style="9" customWidth="1"/>
    <col min="14" max="14" width="8.7109375" style="9" customWidth="1"/>
    <col min="15" max="18" width="16.28515625" style="9" customWidth="1"/>
    <col min="19" max="19" width="16.28515625" customWidth="1"/>
    <col min="20" max="20" width="8.7109375" style="9" customWidth="1"/>
    <col min="21" max="21" width="18.5703125" style="224" customWidth="1"/>
    <col min="22" max="22" width="16.28515625" style="225" customWidth="1"/>
    <col min="23" max="26" width="16.28515625" style="337" customWidth="1"/>
    <col min="27" max="27" width="8.7109375" style="338" customWidth="1"/>
    <col min="28" max="32" width="16.28515625" style="337" customWidth="1"/>
    <col min="33" max="33" width="8.7109375" style="224" customWidth="1"/>
    <col min="34" max="34" width="16.28515625" style="225" customWidth="1"/>
    <col min="35" max="38" width="16.28515625" style="337" customWidth="1"/>
    <col min="39" max="39" width="3.140625" style="74" customWidth="1"/>
    <col min="40" max="42" width="16.140625" style="74" customWidth="1"/>
    <col min="43" max="43" width="16.28515625" style="74" customWidth="1"/>
    <col min="44" max="44" width="16.140625" style="74" customWidth="1"/>
    <col min="45" max="45" width="3.140625" style="74" customWidth="1"/>
    <col min="46" max="50" width="16.28515625" style="74" customWidth="1"/>
    <col min="51" max="51" width="3.7109375" style="224" customWidth="1"/>
    <col min="52" max="54" width="16.28515625" customWidth="1"/>
    <col min="55" max="56" width="16.28515625" style="1" customWidth="1"/>
    <col min="57" max="57" width="3.7109375" style="8" customWidth="1"/>
    <col min="58" max="62" width="16.28515625" style="1" customWidth="1"/>
    <col min="63" max="63" width="3.140625" style="219" customWidth="1"/>
    <col min="64" max="68" width="16.28515625" style="74" customWidth="1"/>
    <col min="69" max="69" width="3.7109375" style="220" customWidth="1"/>
    <col min="70" max="72" width="16.28515625" style="74" customWidth="1"/>
    <col min="73" max="74" width="16.42578125" style="74" customWidth="1"/>
    <col min="75" max="75" width="3.140625" style="220" customWidth="1"/>
    <col min="76" max="79" width="16.42578125" style="74" customWidth="1"/>
    <col min="80" max="80" width="14.42578125" style="74" bestFit="1" customWidth="1"/>
    <col min="81" max="81" width="2.85546875" style="220" customWidth="1"/>
    <col min="82" max="86" width="14.42578125" style="74" bestFit="1" customWidth="1"/>
    <col min="87" max="87" width="3.42578125" style="220" customWidth="1"/>
    <col min="88" max="92" width="14.42578125" style="74" bestFit="1" customWidth="1"/>
    <col min="93" max="93" width="3.42578125" style="220" customWidth="1"/>
    <col min="94" max="98" width="14.42578125" style="74" bestFit="1" customWidth="1"/>
    <col min="99" max="99" width="2.85546875" style="220" customWidth="1"/>
    <col min="100" max="104" width="14.42578125" style="74" bestFit="1" customWidth="1"/>
    <col min="105" max="105" width="2.85546875" style="220" customWidth="1"/>
    <col min="106" max="110" width="14.42578125" style="74" bestFit="1" customWidth="1"/>
    <col min="111" max="111" width="4.5703125" style="219" customWidth="1"/>
    <col min="280" max="280" width="3.5703125" customWidth="1"/>
    <col min="281" max="281" width="36.42578125" customWidth="1"/>
    <col min="282" max="287" width="16.28515625" customWidth="1"/>
    <col min="288" max="288" width="8.7109375" customWidth="1"/>
    <col min="289" max="295" width="16.28515625" customWidth="1"/>
    <col min="296" max="296" width="8.7109375" customWidth="1"/>
    <col min="297" max="306" width="16.28515625" customWidth="1"/>
    <col min="307" max="307" width="8.7109375" customWidth="1"/>
    <col min="308" max="312" width="16.28515625" customWidth="1"/>
    <col min="313" max="313" width="8.7109375" customWidth="1"/>
    <col min="314" max="318" width="16.28515625" customWidth="1"/>
    <col min="319" max="319" width="8.7109375" customWidth="1"/>
    <col min="320" max="324" width="16.28515625" customWidth="1"/>
    <col min="325" max="325" width="8.7109375" customWidth="1"/>
    <col min="326" max="328" width="16.28515625" customWidth="1"/>
    <col min="329" max="330" width="16.42578125" customWidth="1"/>
    <col min="331" max="331" width="8.7109375" customWidth="1"/>
    <col min="332" max="335" width="16.42578125" customWidth="1"/>
    <col min="336" max="336" width="14.42578125" bestFit="1" customWidth="1"/>
    <col min="337" max="337" width="8.7109375" customWidth="1"/>
    <col min="338" max="342" width="14.42578125" bestFit="1" customWidth="1"/>
    <col min="343" max="343" width="8.7109375" customWidth="1"/>
    <col min="344" max="348" width="14.42578125" bestFit="1" customWidth="1"/>
    <col min="349" max="349" width="8.7109375" customWidth="1"/>
    <col min="350" max="354" width="14.42578125" bestFit="1" customWidth="1"/>
    <col min="355" max="355" width="8.7109375" customWidth="1"/>
    <col min="356" max="360" width="14.42578125" bestFit="1" customWidth="1"/>
    <col min="361" max="361" width="8.7109375" customWidth="1"/>
    <col min="362" max="366" width="14.42578125" bestFit="1" customWidth="1"/>
    <col min="367" max="367" width="4.5703125" customWidth="1"/>
    <col min="536" max="536" width="3.5703125" customWidth="1"/>
    <col min="537" max="537" width="36.42578125" customWidth="1"/>
    <col min="538" max="543" width="16.28515625" customWidth="1"/>
    <col min="544" max="544" width="8.7109375" customWidth="1"/>
    <col min="545" max="551" width="16.28515625" customWidth="1"/>
    <col min="552" max="552" width="8.7109375" customWidth="1"/>
    <col min="553" max="562" width="16.28515625" customWidth="1"/>
    <col min="563" max="563" width="8.7109375" customWidth="1"/>
    <col min="564" max="568" width="16.28515625" customWidth="1"/>
    <col min="569" max="569" width="8.7109375" customWidth="1"/>
    <col min="570" max="574" width="16.28515625" customWidth="1"/>
    <col min="575" max="575" width="8.7109375" customWidth="1"/>
    <col min="576" max="580" width="16.28515625" customWidth="1"/>
    <col min="581" max="581" width="8.7109375" customWidth="1"/>
    <col min="582" max="584" width="16.28515625" customWidth="1"/>
    <col min="585" max="586" width="16.42578125" customWidth="1"/>
    <col min="587" max="587" width="8.7109375" customWidth="1"/>
    <col min="588" max="591" width="16.42578125" customWidth="1"/>
    <col min="592" max="592" width="14.42578125" bestFit="1" customWidth="1"/>
    <col min="593" max="593" width="8.7109375" customWidth="1"/>
    <col min="594" max="598" width="14.42578125" bestFit="1" customWidth="1"/>
    <col min="599" max="599" width="8.7109375" customWidth="1"/>
    <col min="600" max="604" width="14.42578125" bestFit="1" customWidth="1"/>
    <col min="605" max="605" width="8.7109375" customWidth="1"/>
    <col min="606" max="610" width="14.42578125" bestFit="1" customWidth="1"/>
    <col min="611" max="611" width="8.7109375" customWidth="1"/>
    <col min="612" max="616" width="14.42578125" bestFit="1" customWidth="1"/>
    <col min="617" max="617" width="8.7109375" customWidth="1"/>
    <col min="618" max="622" width="14.42578125" bestFit="1" customWidth="1"/>
    <col min="623" max="623" width="4.5703125" customWidth="1"/>
    <col min="792" max="792" width="3.5703125" customWidth="1"/>
    <col min="793" max="793" width="36.42578125" customWidth="1"/>
    <col min="794" max="799" width="16.28515625" customWidth="1"/>
    <col min="800" max="800" width="8.7109375" customWidth="1"/>
    <col min="801" max="807" width="16.28515625" customWidth="1"/>
    <col min="808" max="808" width="8.7109375" customWidth="1"/>
    <col min="809" max="818" width="16.28515625" customWidth="1"/>
    <col min="819" max="819" width="8.7109375" customWidth="1"/>
    <col min="820" max="824" width="16.28515625" customWidth="1"/>
    <col min="825" max="825" width="8.7109375" customWidth="1"/>
    <col min="826" max="830" width="16.28515625" customWidth="1"/>
    <col min="831" max="831" width="8.7109375" customWidth="1"/>
    <col min="832" max="836" width="16.28515625" customWidth="1"/>
    <col min="837" max="837" width="8.7109375" customWidth="1"/>
    <col min="838" max="840" width="16.28515625" customWidth="1"/>
    <col min="841" max="842" width="16.42578125" customWidth="1"/>
    <col min="843" max="843" width="8.7109375" customWidth="1"/>
    <col min="844" max="847" width="16.42578125" customWidth="1"/>
    <col min="848" max="848" width="14.42578125" bestFit="1" customWidth="1"/>
    <col min="849" max="849" width="8.7109375" customWidth="1"/>
    <col min="850" max="854" width="14.42578125" bestFit="1" customWidth="1"/>
    <col min="855" max="855" width="8.7109375" customWidth="1"/>
    <col min="856" max="860" width="14.42578125" bestFit="1" customWidth="1"/>
    <col min="861" max="861" width="8.7109375" customWidth="1"/>
    <col min="862" max="866" width="14.42578125" bestFit="1" customWidth="1"/>
    <col min="867" max="867" width="8.7109375" customWidth="1"/>
    <col min="868" max="872" width="14.42578125" bestFit="1" customWidth="1"/>
    <col min="873" max="873" width="8.7109375" customWidth="1"/>
    <col min="874" max="878" width="14.42578125" bestFit="1" customWidth="1"/>
    <col min="879" max="879" width="4.5703125" customWidth="1"/>
    <col min="1048" max="1048" width="3.5703125" customWidth="1"/>
    <col min="1049" max="1049" width="36.42578125" customWidth="1"/>
    <col min="1050" max="1055" width="16.28515625" customWidth="1"/>
    <col min="1056" max="1056" width="8.7109375" customWidth="1"/>
    <col min="1057" max="1063" width="16.28515625" customWidth="1"/>
    <col min="1064" max="1064" width="8.7109375" customWidth="1"/>
    <col min="1065" max="1074" width="16.28515625" customWidth="1"/>
    <col min="1075" max="1075" width="8.7109375" customWidth="1"/>
    <col min="1076" max="1080" width="16.28515625" customWidth="1"/>
    <col min="1081" max="1081" width="8.7109375" customWidth="1"/>
    <col min="1082" max="1086" width="16.28515625" customWidth="1"/>
    <col min="1087" max="1087" width="8.7109375" customWidth="1"/>
    <col min="1088" max="1092" width="16.28515625" customWidth="1"/>
    <col min="1093" max="1093" width="8.7109375" customWidth="1"/>
    <col min="1094" max="1096" width="16.28515625" customWidth="1"/>
    <col min="1097" max="1098" width="16.42578125" customWidth="1"/>
    <col min="1099" max="1099" width="8.7109375" customWidth="1"/>
    <col min="1100" max="1103" width="16.42578125" customWidth="1"/>
    <col min="1104" max="1104" width="14.42578125" bestFit="1" customWidth="1"/>
    <col min="1105" max="1105" width="8.7109375" customWidth="1"/>
    <col min="1106" max="1110" width="14.42578125" bestFit="1" customWidth="1"/>
    <col min="1111" max="1111" width="8.7109375" customWidth="1"/>
    <col min="1112" max="1116" width="14.42578125" bestFit="1" customWidth="1"/>
    <col min="1117" max="1117" width="8.7109375" customWidth="1"/>
    <col min="1118" max="1122" width="14.42578125" bestFit="1" customWidth="1"/>
    <col min="1123" max="1123" width="8.7109375" customWidth="1"/>
    <col min="1124" max="1128" width="14.42578125" bestFit="1" customWidth="1"/>
    <col min="1129" max="1129" width="8.7109375" customWidth="1"/>
    <col min="1130" max="1134" width="14.42578125" bestFit="1" customWidth="1"/>
    <col min="1135" max="1135" width="4.5703125" customWidth="1"/>
    <col min="1304" max="1304" width="3.5703125" customWidth="1"/>
    <col min="1305" max="1305" width="36.42578125" customWidth="1"/>
    <col min="1306" max="1311" width="16.28515625" customWidth="1"/>
    <col min="1312" max="1312" width="8.7109375" customWidth="1"/>
    <col min="1313" max="1319" width="16.28515625" customWidth="1"/>
    <col min="1320" max="1320" width="8.7109375" customWidth="1"/>
    <col min="1321" max="1330" width="16.28515625" customWidth="1"/>
    <col min="1331" max="1331" width="8.7109375" customWidth="1"/>
    <col min="1332" max="1336" width="16.28515625" customWidth="1"/>
    <col min="1337" max="1337" width="8.7109375" customWidth="1"/>
    <col min="1338" max="1342" width="16.28515625" customWidth="1"/>
    <col min="1343" max="1343" width="8.7109375" customWidth="1"/>
    <col min="1344" max="1348" width="16.28515625" customWidth="1"/>
    <col min="1349" max="1349" width="8.7109375" customWidth="1"/>
    <col min="1350" max="1352" width="16.28515625" customWidth="1"/>
    <col min="1353" max="1354" width="16.42578125" customWidth="1"/>
    <col min="1355" max="1355" width="8.7109375" customWidth="1"/>
    <col min="1356" max="1359" width="16.42578125" customWidth="1"/>
    <col min="1360" max="1360" width="14.42578125" bestFit="1" customWidth="1"/>
    <col min="1361" max="1361" width="8.7109375" customWidth="1"/>
    <col min="1362" max="1366" width="14.42578125" bestFit="1" customWidth="1"/>
    <col min="1367" max="1367" width="8.7109375" customWidth="1"/>
    <col min="1368" max="1372" width="14.42578125" bestFit="1" customWidth="1"/>
    <col min="1373" max="1373" width="8.7109375" customWidth="1"/>
    <col min="1374" max="1378" width="14.42578125" bestFit="1" customWidth="1"/>
    <col min="1379" max="1379" width="8.7109375" customWidth="1"/>
    <col min="1380" max="1384" width="14.42578125" bestFit="1" customWidth="1"/>
    <col min="1385" max="1385" width="8.7109375" customWidth="1"/>
    <col min="1386" max="1390" width="14.42578125" bestFit="1" customWidth="1"/>
    <col min="1391" max="1391" width="4.5703125" customWidth="1"/>
    <col min="1560" max="1560" width="3.5703125" customWidth="1"/>
    <col min="1561" max="1561" width="36.42578125" customWidth="1"/>
    <col min="1562" max="1567" width="16.28515625" customWidth="1"/>
    <col min="1568" max="1568" width="8.7109375" customWidth="1"/>
    <col min="1569" max="1575" width="16.28515625" customWidth="1"/>
    <col min="1576" max="1576" width="8.7109375" customWidth="1"/>
    <col min="1577" max="1586" width="16.28515625" customWidth="1"/>
    <col min="1587" max="1587" width="8.7109375" customWidth="1"/>
    <col min="1588" max="1592" width="16.28515625" customWidth="1"/>
    <col min="1593" max="1593" width="8.7109375" customWidth="1"/>
    <col min="1594" max="1598" width="16.28515625" customWidth="1"/>
    <col min="1599" max="1599" width="8.7109375" customWidth="1"/>
    <col min="1600" max="1604" width="16.28515625" customWidth="1"/>
    <col min="1605" max="1605" width="8.7109375" customWidth="1"/>
    <col min="1606" max="1608" width="16.28515625" customWidth="1"/>
    <col min="1609" max="1610" width="16.42578125" customWidth="1"/>
    <col min="1611" max="1611" width="8.7109375" customWidth="1"/>
    <col min="1612" max="1615" width="16.42578125" customWidth="1"/>
    <col min="1616" max="1616" width="14.42578125" bestFit="1" customWidth="1"/>
    <col min="1617" max="1617" width="8.7109375" customWidth="1"/>
    <col min="1618" max="1622" width="14.42578125" bestFit="1" customWidth="1"/>
    <col min="1623" max="1623" width="8.7109375" customWidth="1"/>
    <col min="1624" max="1628" width="14.42578125" bestFit="1" customWidth="1"/>
    <col min="1629" max="1629" width="8.7109375" customWidth="1"/>
    <col min="1630" max="1634" width="14.42578125" bestFit="1" customWidth="1"/>
    <col min="1635" max="1635" width="8.7109375" customWidth="1"/>
    <col min="1636" max="1640" width="14.42578125" bestFit="1" customWidth="1"/>
    <col min="1641" max="1641" width="8.7109375" customWidth="1"/>
    <col min="1642" max="1646" width="14.42578125" bestFit="1" customWidth="1"/>
    <col min="1647" max="1647" width="4.5703125" customWidth="1"/>
    <col min="1816" max="1816" width="3.5703125" customWidth="1"/>
    <col min="1817" max="1817" width="36.42578125" customWidth="1"/>
    <col min="1818" max="1823" width="16.28515625" customWidth="1"/>
    <col min="1824" max="1824" width="8.7109375" customWidth="1"/>
    <col min="1825" max="1831" width="16.28515625" customWidth="1"/>
    <col min="1832" max="1832" width="8.7109375" customWidth="1"/>
    <col min="1833" max="1842" width="16.28515625" customWidth="1"/>
    <col min="1843" max="1843" width="8.7109375" customWidth="1"/>
    <col min="1844" max="1848" width="16.28515625" customWidth="1"/>
    <col min="1849" max="1849" width="8.7109375" customWidth="1"/>
    <col min="1850" max="1854" width="16.28515625" customWidth="1"/>
    <col min="1855" max="1855" width="8.7109375" customWidth="1"/>
    <col min="1856" max="1860" width="16.28515625" customWidth="1"/>
    <col min="1861" max="1861" width="8.7109375" customWidth="1"/>
    <col min="1862" max="1864" width="16.28515625" customWidth="1"/>
    <col min="1865" max="1866" width="16.42578125" customWidth="1"/>
    <col min="1867" max="1867" width="8.7109375" customWidth="1"/>
    <col min="1868" max="1871" width="16.42578125" customWidth="1"/>
    <col min="1872" max="1872" width="14.42578125" bestFit="1" customWidth="1"/>
    <col min="1873" max="1873" width="8.7109375" customWidth="1"/>
    <col min="1874" max="1878" width="14.42578125" bestFit="1" customWidth="1"/>
    <col min="1879" max="1879" width="8.7109375" customWidth="1"/>
    <col min="1880" max="1884" width="14.42578125" bestFit="1" customWidth="1"/>
    <col min="1885" max="1885" width="8.7109375" customWidth="1"/>
    <col min="1886" max="1890" width="14.42578125" bestFit="1" customWidth="1"/>
    <col min="1891" max="1891" width="8.7109375" customWidth="1"/>
    <col min="1892" max="1896" width="14.42578125" bestFit="1" customWidth="1"/>
    <col min="1897" max="1897" width="8.7109375" customWidth="1"/>
    <col min="1898" max="1902" width="14.42578125" bestFit="1" customWidth="1"/>
    <col min="1903" max="1903" width="4.5703125" customWidth="1"/>
    <col min="2072" max="2072" width="3.5703125" customWidth="1"/>
    <col min="2073" max="2073" width="36.42578125" customWidth="1"/>
    <col min="2074" max="2079" width="16.28515625" customWidth="1"/>
    <col min="2080" max="2080" width="8.7109375" customWidth="1"/>
    <col min="2081" max="2087" width="16.28515625" customWidth="1"/>
    <col min="2088" max="2088" width="8.7109375" customWidth="1"/>
    <col min="2089" max="2098" width="16.28515625" customWidth="1"/>
    <col min="2099" max="2099" width="8.7109375" customWidth="1"/>
    <col min="2100" max="2104" width="16.28515625" customWidth="1"/>
    <col min="2105" max="2105" width="8.7109375" customWidth="1"/>
    <col min="2106" max="2110" width="16.28515625" customWidth="1"/>
    <col min="2111" max="2111" width="8.7109375" customWidth="1"/>
    <col min="2112" max="2116" width="16.28515625" customWidth="1"/>
    <col min="2117" max="2117" width="8.7109375" customWidth="1"/>
    <col min="2118" max="2120" width="16.28515625" customWidth="1"/>
    <col min="2121" max="2122" width="16.42578125" customWidth="1"/>
    <col min="2123" max="2123" width="8.7109375" customWidth="1"/>
    <col min="2124" max="2127" width="16.42578125" customWidth="1"/>
    <col min="2128" max="2128" width="14.42578125" bestFit="1" customWidth="1"/>
    <col min="2129" max="2129" width="8.7109375" customWidth="1"/>
    <col min="2130" max="2134" width="14.42578125" bestFit="1" customWidth="1"/>
    <col min="2135" max="2135" width="8.7109375" customWidth="1"/>
    <col min="2136" max="2140" width="14.42578125" bestFit="1" customWidth="1"/>
    <col min="2141" max="2141" width="8.7109375" customWidth="1"/>
    <col min="2142" max="2146" width="14.42578125" bestFit="1" customWidth="1"/>
    <col min="2147" max="2147" width="8.7109375" customWidth="1"/>
    <col min="2148" max="2152" width="14.42578125" bestFit="1" customWidth="1"/>
    <col min="2153" max="2153" width="8.7109375" customWidth="1"/>
    <col min="2154" max="2158" width="14.42578125" bestFit="1" customWidth="1"/>
    <col min="2159" max="2159" width="4.5703125" customWidth="1"/>
    <col min="2328" max="2328" width="3.5703125" customWidth="1"/>
    <col min="2329" max="2329" width="36.42578125" customWidth="1"/>
    <col min="2330" max="2335" width="16.28515625" customWidth="1"/>
    <col min="2336" max="2336" width="8.7109375" customWidth="1"/>
    <col min="2337" max="2343" width="16.28515625" customWidth="1"/>
    <col min="2344" max="2344" width="8.7109375" customWidth="1"/>
    <col min="2345" max="2354" width="16.28515625" customWidth="1"/>
    <col min="2355" max="2355" width="8.7109375" customWidth="1"/>
    <col min="2356" max="2360" width="16.28515625" customWidth="1"/>
    <col min="2361" max="2361" width="8.7109375" customWidth="1"/>
    <col min="2362" max="2366" width="16.28515625" customWidth="1"/>
    <col min="2367" max="2367" width="8.7109375" customWidth="1"/>
    <col min="2368" max="2372" width="16.28515625" customWidth="1"/>
    <col min="2373" max="2373" width="8.7109375" customWidth="1"/>
    <col min="2374" max="2376" width="16.28515625" customWidth="1"/>
    <col min="2377" max="2378" width="16.42578125" customWidth="1"/>
    <col min="2379" max="2379" width="8.7109375" customWidth="1"/>
    <col min="2380" max="2383" width="16.42578125" customWidth="1"/>
    <col min="2384" max="2384" width="14.42578125" bestFit="1" customWidth="1"/>
    <col min="2385" max="2385" width="8.7109375" customWidth="1"/>
    <col min="2386" max="2390" width="14.42578125" bestFit="1" customWidth="1"/>
    <col min="2391" max="2391" width="8.7109375" customWidth="1"/>
    <col min="2392" max="2396" width="14.42578125" bestFit="1" customWidth="1"/>
    <col min="2397" max="2397" width="8.7109375" customWidth="1"/>
    <col min="2398" max="2402" width="14.42578125" bestFit="1" customWidth="1"/>
    <col min="2403" max="2403" width="8.7109375" customWidth="1"/>
    <col min="2404" max="2408" width="14.42578125" bestFit="1" customWidth="1"/>
    <col min="2409" max="2409" width="8.7109375" customWidth="1"/>
    <col min="2410" max="2414" width="14.42578125" bestFit="1" customWidth="1"/>
    <col min="2415" max="2415" width="4.5703125" customWidth="1"/>
    <col min="2584" max="2584" width="3.5703125" customWidth="1"/>
    <col min="2585" max="2585" width="36.42578125" customWidth="1"/>
    <col min="2586" max="2591" width="16.28515625" customWidth="1"/>
    <col min="2592" max="2592" width="8.7109375" customWidth="1"/>
    <col min="2593" max="2599" width="16.28515625" customWidth="1"/>
    <col min="2600" max="2600" width="8.7109375" customWidth="1"/>
    <col min="2601" max="2610" width="16.28515625" customWidth="1"/>
    <col min="2611" max="2611" width="8.7109375" customWidth="1"/>
    <col min="2612" max="2616" width="16.28515625" customWidth="1"/>
    <col min="2617" max="2617" width="8.7109375" customWidth="1"/>
    <col min="2618" max="2622" width="16.28515625" customWidth="1"/>
    <col min="2623" max="2623" width="8.7109375" customWidth="1"/>
    <col min="2624" max="2628" width="16.28515625" customWidth="1"/>
    <col min="2629" max="2629" width="8.7109375" customWidth="1"/>
    <col min="2630" max="2632" width="16.28515625" customWidth="1"/>
    <col min="2633" max="2634" width="16.42578125" customWidth="1"/>
    <col min="2635" max="2635" width="8.7109375" customWidth="1"/>
    <col min="2636" max="2639" width="16.42578125" customWidth="1"/>
    <col min="2640" max="2640" width="14.42578125" bestFit="1" customWidth="1"/>
    <col min="2641" max="2641" width="8.7109375" customWidth="1"/>
    <col min="2642" max="2646" width="14.42578125" bestFit="1" customWidth="1"/>
    <col min="2647" max="2647" width="8.7109375" customWidth="1"/>
    <col min="2648" max="2652" width="14.42578125" bestFit="1" customWidth="1"/>
    <col min="2653" max="2653" width="8.7109375" customWidth="1"/>
    <col min="2654" max="2658" width="14.42578125" bestFit="1" customWidth="1"/>
    <col min="2659" max="2659" width="8.7109375" customWidth="1"/>
    <col min="2660" max="2664" width="14.42578125" bestFit="1" customWidth="1"/>
    <col min="2665" max="2665" width="8.7109375" customWidth="1"/>
    <col min="2666" max="2670" width="14.42578125" bestFit="1" customWidth="1"/>
    <col min="2671" max="2671" width="4.5703125" customWidth="1"/>
    <col min="2840" max="2840" width="3.5703125" customWidth="1"/>
    <col min="2841" max="2841" width="36.42578125" customWidth="1"/>
    <col min="2842" max="2847" width="16.28515625" customWidth="1"/>
    <col min="2848" max="2848" width="8.7109375" customWidth="1"/>
    <col min="2849" max="2855" width="16.28515625" customWidth="1"/>
    <col min="2856" max="2856" width="8.7109375" customWidth="1"/>
    <col min="2857" max="2866" width="16.28515625" customWidth="1"/>
    <col min="2867" max="2867" width="8.7109375" customWidth="1"/>
    <col min="2868" max="2872" width="16.28515625" customWidth="1"/>
    <col min="2873" max="2873" width="8.7109375" customWidth="1"/>
    <col min="2874" max="2878" width="16.28515625" customWidth="1"/>
    <col min="2879" max="2879" width="8.7109375" customWidth="1"/>
    <col min="2880" max="2884" width="16.28515625" customWidth="1"/>
    <col min="2885" max="2885" width="8.7109375" customWidth="1"/>
    <col min="2886" max="2888" width="16.28515625" customWidth="1"/>
    <col min="2889" max="2890" width="16.42578125" customWidth="1"/>
    <col min="2891" max="2891" width="8.7109375" customWidth="1"/>
    <col min="2892" max="2895" width="16.42578125" customWidth="1"/>
    <col min="2896" max="2896" width="14.42578125" bestFit="1" customWidth="1"/>
    <col min="2897" max="2897" width="8.7109375" customWidth="1"/>
    <col min="2898" max="2902" width="14.42578125" bestFit="1" customWidth="1"/>
    <col min="2903" max="2903" width="8.7109375" customWidth="1"/>
    <col min="2904" max="2908" width="14.42578125" bestFit="1" customWidth="1"/>
    <col min="2909" max="2909" width="8.7109375" customWidth="1"/>
    <col min="2910" max="2914" width="14.42578125" bestFit="1" customWidth="1"/>
    <col min="2915" max="2915" width="8.7109375" customWidth="1"/>
    <col min="2916" max="2920" width="14.42578125" bestFit="1" customWidth="1"/>
    <col min="2921" max="2921" width="8.7109375" customWidth="1"/>
    <col min="2922" max="2926" width="14.42578125" bestFit="1" customWidth="1"/>
    <col min="2927" max="2927" width="4.5703125" customWidth="1"/>
    <col min="3096" max="3096" width="3.5703125" customWidth="1"/>
    <col min="3097" max="3097" width="36.42578125" customWidth="1"/>
    <col min="3098" max="3103" width="16.28515625" customWidth="1"/>
    <col min="3104" max="3104" width="8.7109375" customWidth="1"/>
    <col min="3105" max="3111" width="16.28515625" customWidth="1"/>
    <col min="3112" max="3112" width="8.7109375" customWidth="1"/>
    <col min="3113" max="3122" width="16.28515625" customWidth="1"/>
    <col min="3123" max="3123" width="8.7109375" customWidth="1"/>
    <col min="3124" max="3128" width="16.28515625" customWidth="1"/>
    <col min="3129" max="3129" width="8.7109375" customWidth="1"/>
    <col min="3130" max="3134" width="16.28515625" customWidth="1"/>
    <col min="3135" max="3135" width="8.7109375" customWidth="1"/>
    <col min="3136" max="3140" width="16.28515625" customWidth="1"/>
    <col min="3141" max="3141" width="8.7109375" customWidth="1"/>
    <col min="3142" max="3144" width="16.28515625" customWidth="1"/>
    <col min="3145" max="3146" width="16.42578125" customWidth="1"/>
    <col min="3147" max="3147" width="8.7109375" customWidth="1"/>
    <col min="3148" max="3151" width="16.42578125" customWidth="1"/>
    <col min="3152" max="3152" width="14.42578125" bestFit="1" customWidth="1"/>
    <col min="3153" max="3153" width="8.7109375" customWidth="1"/>
    <col min="3154" max="3158" width="14.42578125" bestFit="1" customWidth="1"/>
    <col min="3159" max="3159" width="8.7109375" customWidth="1"/>
    <col min="3160" max="3164" width="14.42578125" bestFit="1" customWidth="1"/>
    <col min="3165" max="3165" width="8.7109375" customWidth="1"/>
    <col min="3166" max="3170" width="14.42578125" bestFit="1" customWidth="1"/>
    <col min="3171" max="3171" width="8.7109375" customWidth="1"/>
    <col min="3172" max="3176" width="14.42578125" bestFit="1" customWidth="1"/>
    <col min="3177" max="3177" width="8.7109375" customWidth="1"/>
    <col min="3178" max="3182" width="14.42578125" bestFit="1" customWidth="1"/>
    <col min="3183" max="3183" width="4.5703125" customWidth="1"/>
    <col min="3352" max="3352" width="3.5703125" customWidth="1"/>
    <col min="3353" max="3353" width="36.42578125" customWidth="1"/>
    <col min="3354" max="3359" width="16.28515625" customWidth="1"/>
    <col min="3360" max="3360" width="8.7109375" customWidth="1"/>
    <col min="3361" max="3367" width="16.28515625" customWidth="1"/>
    <col min="3368" max="3368" width="8.7109375" customWidth="1"/>
    <col min="3369" max="3378" width="16.28515625" customWidth="1"/>
    <col min="3379" max="3379" width="8.7109375" customWidth="1"/>
    <col min="3380" max="3384" width="16.28515625" customWidth="1"/>
    <col min="3385" max="3385" width="8.7109375" customWidth="1"/>
    <col min="3386" max="3390" width="16.28515625" customWidth="1"/>
    <col min="3391" max="3391" width="8.7109375" customWidth="1"/>
    <col min="3392" max="3396" width="16.28515625" customWidth="1"/>
    <col min="3397" max="3397" width="8.7109375" customWidth="1"/>
    <col min="3398" max="3400" width="16.28515625" customWidth="1"/>
    <col min="3401" max="3402" width="16.42578125" customWidth="1"/>
    <col min="3403" max="3403" width="8.7109375" customWidth="1"/>
    <col min="3404" max="3407" width="16.42578125" customWidth="1"/>
    <col min="3408" max="3408" width="14.42578125" bestFit="1" customWidth="1"/>
    <col min="3409" max="3409" width="8.7109375" customWidth="1"/>
    <col min="3410" max="3414" width="14.42578125" bestFit="1" customWidth="1"/>
    <col min="3415" max="3415" width="8.7109375" customWidth="1"/>
    <col min="3416" max="3420" width="14.42578125" bestFit="1" customWidth="1"/>
    <col min="3421" max="3421" width="8.7109375" customWidth="1"/>
    <col min="3422" max="3426" width="14.42578125" bestFit="1" customWidth="1"/>
    <col min="3427" max="3427" width="8.7109375" customWidth="1"/>
    <col min="3428" max="3432" width="14.42578125" bestFit="1" customWidth="1"/>
    <col min="3433" max="3433" width="8.7109375" customWidth="1"/>
    <col min="3434" max="3438" width="14.42578125" bestFit="1" customWidth="1"/>
    <col min="3439" max="3439" width="4.5703125" customWidth="1"/>
    <col min="3608" max="3608" width="3.5703125" customWidth="1"/>
    <col min="3609" max="3609" width="36.42578125" customWidth="1"/>
    <col min="3610" max="3615" width="16.28515625" customWidth="1"/>
    <col min="3616" max="3616" width="8.7109375" customWidth="1"/>
    <col min="3617" max="3623" width="16.28515625" customWidth="1"/>
    <col min="3624" max="3624" width="8.7109375" customWidth="1"/>
    <col min="3625" max="3634" width="16.28515625" customWidth="1"/>
    <col min="3635" max="3635" width="8.7109375" customWidth="1"/>
    <col min="3636" max="3640" width="16.28515625" customWidth="1"/>
    <col min="3641" max="3641" width="8.7109375" customWidth="1"/>
    <col min="3642" max="3646" width="16.28515625" customWidth="1"/>
    <col min="3647" max="3647" width="8.7109375" customWidth="1"/>
    <col min="3648" max="3652" width="16.28515625" customWidth="1"/>
    <col min="3653" max="3653" width="8.7109375" customWidth="1"/>
    <col min="3654" max="3656" width="16.28515625" customWidth="1"/>
    <col min="3657" max="3658" width="16.42578125" customWidth="1"/>
    <col min="3659" max="3659" width="8.7109375" customWidth="1"/>
    <col min="3660" max="3663" width="16.42578125" customWidth="1"/>
    <col min="3664" max="3664" width="14.42578125" bestFit="1" customWidth="1"/>
    <col min="3665" max="3665" width="8.7109375" customWidth="1"/>
    <col min="3666" max="3670" width="14.42578125" bestFit="1" customWidth="1"/>
    <col min="3671" max="3671" width="8.7109375" customWidth="1"/>
    <col min="3672" max="3676" width="14.42578125" bestFit="1" customWidth="1"/>
    <col min="3677" max="3677" width="8.7109375" customWidth="1"/>
    <col min="3678" max="3682" width="14.42578125" bestFit="1" customWidth="1"/>
    <col min="3683" max="3683" width="8.7109375" customWidth="1"/>
    <col min="3684" max="3688" width="14.42578125" bestFit="1" customWidth="1"/>
    <col min="3689" max="3689" width="8.7109375" customWidth="1"/>
    <col min="3690" max="3694" width="14.42578125" bestFit="1" customWidth="1"/>
    <col min="3695" max="3695" width="4.5703125" customWidth="1"/>
    <col min="3864" max="3864" width="3.5703125" customWidth="1"/>
    <col min="3865" max="3865" width="36.42578125" customWidth="1"/>
    <col min="3866" max="3871" width="16.28515625" customWidth="1"/>
    <col min="3872" max="3872" width="8.7109375" customWidth="1"/>
    <col min="3873" max="3879" width="16.28515625" customWidth="1"/>
    <col min="3880" max="3880" width="8.7109375" customWidth="1"/>
    <col min="3881" max="3890" width="16.28515625" customWidth="1"/>
    <col min="3891" max="3891" width="8.7109375" customWidth="1"/>
    <col min="3892" max="3896" width="16.28515625" customWidth="1"/>
    <col min="3897" max="3897" width="8.7109375" customWidth="1"/>
    <col min="3898" max="3902" width="16.28515625" customWidth="1"/>
    <col min="3903" max="3903" width="8.7109375" customWidth="1"/>
    <col min="3904" max="3908" width="16.28515625" customWidth="1"/>
    <col min="3909" max="3909" width="8.7109375" customWidth="1"/>
    <col min="3910" max="3912" width="16.28515625" customWidth="1"/>
    <col min="3913" max="3914" width="16.42578125" customWidth="1"/>
    <col min="3915" max="3915" width="8.7109375" customWidth="1"/>
    <col min="3916" max="3919" width="16.42578125" customWidth="1"/>
    <col min="3920" max="3920" width="14.42578125" bestFit="1" customWidth="1"/>
    <col min="3921" max="3921" width="8.7109375" customWidth="1"/>
    <col min="3922" max="3926" width="14.42578125" bestFit="1" customWidth="1"/>
    <col min="3927" max="3927" width="8.7109375" customWidth="1"/>
    <col min="3928" max="3932" width="14.42578125" bestFit="1" customWidth="1"/>
    <col min="3933" max="3933" width="8.7109375" customWidth="1"/>
    <col min="3934" max="3938" width="14.42578125" bestFit="1" customWidth="1"/>
    <col min="3939" max="3939" width="8.7109375" customWidth="1"/>
    <col min="3940" max="3944" width="14.42578125" bestFit="1" customWidth="1"/>
    <col min="3945" max="3945" width="8.7109375" customWidth="1"/>
    <col min="3946" max="3950" width="14.42578125" bestFit="1" customWidth="1"/>
    <col min="3951" max="3951" width="4.5703125" customWidth="1"/>
    <col min="4120" max="4120" width="3.5703125" customWidth="1"/>
    <col min="4121" max="4121" width="36.42578125" customWidth="1"/>
    <col min="4122" max="4127" width="16.28515625" customWidth="1"/>
    <col min="4128" max="4128" width="8.7109375" customWidth="1"/>
    <col min="4129" max="4135" width="16.28515625" customWidth="1"/>
    <col min="4136" max="4136" width="8.7109375" customWidth="1"/>
    <col min="4137" max="4146" width="16.28515625" customWidth="1"/>
    <col min="4147" max="4147" width="8.7109375" customWidth="1"/>
    <col min="4148" max="4152" width="16.28515625" customWidth="1"/>
    <col min="4153" max="4153" width="8.7109375" customWidth="1"/>
    <col min="4154" max="4158" width="16.28515625" customWidth="1"/>
    <col min="4159" max="4159" width="8.7109375" customWidth="1"/>
    <col min="4160" max="4164" width="16.28515625" customWidth="1"/>
    <col min="4165" max="4165" width="8.7109375" customWidth="1"/>
    <col min="4166" max="4168" width="16.28515625" customWidth="1"/>
    <col min="4169" max="4170" width="16.42578125" customWidth="1"/>
    <col min="4171" max="4171" width="8.7109375" customWidth="1"/>
    <col min="4172" max="4175" width="16.42578125" customWidth="1"/>
    <col min="4176" max="4176" width="14.42578125" bestFit="1" customWidth="1"/>
    <col min="4177" max="4177" width="8.7109375" customWidth="1"/>
    <col min="4178" max="4182" width="14.42578125" bestFit="1" customWidth="1"/>
    <col min="4183" max="4183" width="8.7109375" customWidth="1"/>
    <col min="4184" max="4188" width="14.42578125" bestFit="1" customWidth="1"/>
    <col min="4189" max="4189" width="8.7109375" customWidth="1"/>
    <col min="4190" max="4194" width="14.42578125" bestFit="1" customWidth="1"/>
    <col min="4195" max="4195" width="8.7109375" customWidth="1"/>
    <col min="4196" max="4200" width="14.42578125" bestFit="1" customWidth="1"/>
    <col min="4201" max="4201" width="8.7109375" customWidth="1"/>
    <col min="4202" max="4206" width="14.42578125" bestFit="1" customWidth="1"/>
    <col min="4207" max="4207" width="4.5703125" customWidth="1"/>
    <col min="4376" max="4376" width="3.5703125" customWidth="1"/>
    <col min="4377" max="4377" width="36.42578125" customWidth="1"/>
    <col min="4378" max="4383" width="16.28515625" customWidth="1"/>
    <col min="4384" max="4384" width="8.7109375" customWidth="1"/>
    <col min="4385" max="4391" width="16.28515625" customWidth="1"/>
    <col min="4392" max="4392" width="8.7109375" customWidth="1"/>
    <col min="4393" max="4402" width="16.28515625" customWidth="1"/>
    <col min="4403" max="4403" width="8.7109375" customWidth="1"/>
    <col min="4404" max="4408" width="16.28515625" customWidth="1"/>
    <col min="4409" max="4409" width="8.7109375" customWidth="1"/>
    <col min="4410" max="4414" width="16.28515625" customWidth="1"/>
    <col min="4415" max="4415" width="8.7109375" customWidth="1"/>
    <col min="4416" max="4420" width="16.28515625" customWidth="1"/>
    <col min="4421" max="4421" width="8.7109375" customWidth="1"/>
    <col min="4422" max="4424" width="16.28515625" customWidth="1"/>
    <col min="4425" max="4426" width="16.42578125" customWidth="1"/>
    <col min="4427" max="4427" width="8.7109375" customWidth="1"/>
    <col min="4428" max="4431" width="16.42578125" customWidth="1"/>
    <col min="4432" max="4432" width="14.42578125" bestFit="1" customWidth="1"/>
    <col min="4433" max="4433" width="8.7109375" customWidth="1"/>
    <col min="4434" max="4438" width="14.42578125" bestFit="1" customWidth="1"/>
    <col min="4439" max="4439" width="8.7109375" customWidth="1"/>
    <col min="4440" max="4444" width="14.42578125" bestFit="1" customWidth="1"/>
    <col min="4445" max="4445" width="8.7109375" customWidth="1"/>
    <col min="4446" max="4450" width="14.42578125" bestFit="1" customWidth="1"/>
    <col min="4451" max="4451" width="8.7109375" customWidth="1"/>
    <col min="4452" max="4456" width="14.42578125" bestFit="1" customWidth="1"/>
    <col min="4457" max="4457" width="8.7109375" customWidth="1"/>
    <col min="4458" max="4462" width="14.42578125" bestFit="1" customWidth="1"/>
    <col min="4463" max="4463" width="4.5703125" customWidth="1"/>
    <col min="4632" max="4632" width="3.5703125" customWidth="1"/>
    <col min="4633" max="4633" width="36.42578125" customWidth="1"/>
    <col min="4634" max="4639" width="16.28515625" customWidth="1"/>
    <col min="4640" max="4640" width="8.7109375" customWidth="1"/>
    <col min="4641" max="4647" width="16.28515625" customWidth="1"/>
    <col min="4648" max="4648" width="8.7109375" customWidth="1"/>
    <col min="4649" max="4658" width="16.28515625" customWidth="1"/>
    <col min="4659" max="4659" width="8.7109375" customWidth="1"/>
    <col min="4660" max="4664" width="16.28515625" customWidth="1"/>
    <col min="4665" max="4665" width="8.7109375" customWidth="1"/>
    <col min="4666" max="4670" width="16.28515625" customWidth="1"/>
    <col min="4671" max="4671" width="8.7109375" customWidth="1"/>
    <col min="4672" max="4676" width="16.28515625" customWidth="1"/>
    <col min="4677" max="4677" width="8.7109375" customWidth="1"/>
    <col min="4678" max="4680" width="16.28515625" customWidth="1"/>
    <col min="4681" max="4682" width="16.42578125" customWidth="1"/>
    <col min="4683" max="4683" width="8.7109375" customWidth="1"/>
    <col min="4684" max="4687" width="16.42578125" customWidth="1"/>
    <col min="4688" max="4688" width="14.42578125" bestFit="1" customWidth="1"/>
    <col min="4689" max="4689" width="8.7109375" customWidth="1"/>
    <col min="4690" max="4694" width="14.42578125" bestFit="1" customWidth="1"/>
    <col min="4695" max="4695" width="8.7109375" customWidth="1"/>
    <col min="4696" max="4700" width="14.42578125" bestFit="1" customWidth="1"/>
    <col min="4701" max="4701" width="8.7109375" customWidth="1"/>
    <col min="4702" max="4706" width="14.42578125" bestFit="1" customWidth="1"/>
    <col min="4707" max="4707" width="8.7109375" customWidth="1"/>
    <col min="4708" max="4712" width="14.42578125" bestFit="1" customWidth="1"/>
    <col min="4713" max="4713" width="8.7109375" customWidth="1"/>
    <col min="4714" max="4718" width="14.42578125" bestFit="1" customWidth="1"/>
    <col min="4719" max="4719" width="4.5703125" customWidth="1"/>
    <col min="4888" max="4888" width="3.5703125" customWidth="1"/>
    <col min="4889" max="4889" width="36.42578125" customWidth="1"/>
    <col min="4890" max="4895" width="16.28515625" customWidth="1"/>
    <col min="4896" max="4896" width="8.7109375" customWidth="1"/>
    <col min="4897" max="4903" width="16.28515625" customWidth="1"/>
    <col min="4904" max="4904" width="8.7109375" customWidth="1"/>
    <col min="4905" max="4914" width="16.28515625" customWidth="1"/>
    <col min="4915" max="4915" width="8.7109375" customWidth="1"/>
    <col min="4916" max="4920" width="16.28515625" customWidth="1"/>
    <col min="4921" max="4921" width="8.7109375" customWidth="1"/>
    <col min="4922" max="4926" width="16.28515625" customWidth="1"/>
    <col min="4927" max="4927" width="8.7109375" customWidth="1"/>
    <col min="4928" max="4932" width="16.28515625" customWidth="1"/>
    <col min="4933" max="4933" width="8.7109375" customWidth="1"/>
    <col min="4934" max="4936" width="16.28515625" customWidth="1"/>
    <col min="4937" max="4938" width="16.42578125" customWidth="1"/>
    <col min="4939" max="4939" width="8.7109375" customWidth="1"/>
    <col min="4940" max="4943" width="16.42578125" customWidth="1"/>
    <col min="4944" max="4944" width="14.42578125" bestFit="1" customWidth="1"/>
    <col min="4945" max="4945" width="8.7109375" customWidth="1"/>
    <col min="4946" max="4950" width="14.42578125" bestFit="1" customWidth="1"/>
    <col min="4951" max="4951" width="8.7109375" customWidth="1"/>
    <col min="4952" max="4956" width="14.42578125" bestFit="1" customWidth="1"/>
    <col min="4957" max="4957" width="8.7109375" customWidth="1"/>
    <col min="4958" max="4962" width="14.42578125" bestFit="1" customWidth="1"/>
    <col min="4963" max="4963" width="8.7109375" customWidth="1"/>
    <col min="4964" max="4968" width="14.42578125" bestFit="1" customWidth="1"/>
    <col min="4969" max="4969" width="8.7109375" customWidth="1"/>
    <col min="4970" max="4974" width="14.42578125" bestFit="1" customWidth="1"/>
    <col min="4975" max="4975" width="4.5703125" customWidth="1"/>
    <col min="5144" max="5144" width="3.5703125" customWidth="1"/>
    <col min="5145" max="5145" width="36.42578125" customWidth="1"/>
    <col min="5146" max="5151" width="16.28515625" customWidth="1"/>
    <col min="5152" max="5152" width="8.7109375" customWidth="1"/>
    <col min="5153" max="5159" width="16.28515625" customWidth="1"/>
    <col min="5160" max="5160" width="8.7109375" customWidth="1"/>
    <col min="5161" max="5170" width="16.28515625" customWidth="1"/>
    <col min="5171" max="5171" width="8.7109375" customWidth="1"/>
    <col min="5172" max="5176" width="16.28515625" customWidth="1"/>
    <col min="5177" max="5177" width="8.7109375" customWidth="1"/>
    <col min="5178" max="5182" width="16.28515625" customWidth="1"/>
    <col min="5183" max="5183" width="8.7109375" customWidth="1"/>
    <col min="5184" max="5188" width="16.28515625" customWidth="1"/>
    <col min="5189" max="5189" width="8.7109375" customWidth="1"/>
    <col min="5190" max="5192" width="16.28515625" customWidth="1"/>
    <col min="5193" max="5194" width="16.42578125" customWidth="1"/>
    <col min="5195" max="5195" width="8.7109375" customWidth="1"/>
    <col min="5196" max="5199" width="16.42578125" customWidth="1"/>
    <col min="5200" max="5200" width="14.42578125" bestFit="1" customWidth="1"/>
    <col min="5201" max="5201" width="8.7109375" customWidth="1"/>
    <col min="5202" max="5206" width="14.42578125" bestFit="1" customWidth="1"/>
    <col min="5207" max="5207" width="8.7109375" customWidth="1"/>
    <col min="5208" max="5212" width="14.42578125" bestFit="1" customWidth="1"/>
    <col min="5213" max="5213" width="8.7109375" customWidth="1"/>
    <col min="5214" max="5218" width="14.42578125" bestFit="1" customWidth="1"/>
    <col min="5219" max="5219" width="8.7109375" customWidth="1"/>
    <col min="5220" max="5224" width="14.42578125" bestFit="1" customWidth="1"/>
    <col min="5225" max="5225" width="8.7109375" customWidth="1"/>
    <col min="5226" max="5230" width="14.42578125" bestFit="1" customWidth="1"/>
    <col min="5231" max="5231" width="4.5703125" customWidth="1"/>
    <col min="5400" max="5400" width="3.5703125" customWidth="1"/>
    <col min="5401" max="5401" width="36.42578125" customWidth="1"/>
    <col min="5402" max="5407" width="16.28515625" customWidth="1"/>
    <col min="5408" max="5408" width="8.7109375" customWidth="1"/>
    <col min="5409" max="5415" width="16.28515625" customWidth="1"/>
    <col min="5416" max="5416" width="8.7109375" customWidth="1"/>
    <col min="5417" max="5426" width="16.28515625" customWidth="1"/>
    <col min="5427" max="5427" width="8.7109375" customWidth="1"/>
    <col min="5428" max="5432" width="16.28515625" customWidth="1"/>
    <col min="5433" max="5433" width="8.7109375" customWidth="1"/>
    <col min="5434" max="5438" width="16.28515625" customWidth="1"/>
    <col min="5439" max="5439" width="8.7109375" customWidth="1"/>
    <col min="5440" max="5444" width="16.28515625" customWidth="1"/>
    <col min="5445" max="5445" width="8.7109375" customWidth="1"/>
    <col min="5446" max="5448" width="16.28515625" customWidth="1"/>
    <col min="5449" max="5450" width="16.42578125" customWidth="1"/>
    <col min="5451" max="5451" width="8.7109375" customWidth="1"/>
    <col min="5452" max="5455" width="16.42578125" customWidth="1"/>
    <col min="5456" max="5456" width="14.42578125" bestFit="1" customWidth="1"/>
    <col min="5457" max="5457" width="8.7109375" customWidth="1"/>
    <col min="5458" max="5462" width="14.42578125" bestFit="1" customWidth="1"/>
    <col min="5463" max="5463" width="8.7109375" customWidth="1"/>
    <col min="5464" max="5468" width="14.42578125" bestFit="1" customWidth="1"/>
    <col min="5469" max="5469" width="8.7109375" customWidth="1"/>
    <col min="5470" max="5474" width="14.42578125" bestFit="1" customWidth="1"/>
    <col min="5475" max="5475" width="8.7109375" customWidth="1"/>
    <col min="5476" max="5480" width="14.42578125" bestFit="1" customWidth="1"/>
    <col min="5481" max="5481" width="8.7109375" customWidth="1"/>
    <col min="5482" max="5486" width="14.42578125" bestFit="1" customWidth="1"/>
    <col min="5487" max="5487" width="4.5703125" customWidth="1"/>
    <col min="5656" max="5656" width="3.5703125" customWidth="1"/>
    <col min="5657" max="5657" width="36.42578125" customWidth="1"/>
    <col min="5658" max="5663" width="16.28515625" customWidth="1"/>
    <col min="5664" max="5664" width="8.7109375" customWidth="1"/>
    <col min="5665" max="5671" width="16.28515625" customWidth="1"/>
    <col min="5672" max="5672" width="8.7109375" customWidth="1"/>
    <col min="5673" max="5682" width="16.28515625" customWidth="1"/>
    <col min="5683" max="5683" width="8.7109375" customWidth="1"/>
    <col min="5684" max="5688" width="16.28515625" customWidth="1"/>
    <col min="5689" max="5689" width="8.7109375" customWidth="1"/>
    <col min="5690" max="5694" width="16.28515625" customWidth="1"/>
    <col min="5695" max="5695" width="8.7109375" customWidth="1"/>
    <col min="5696" max="5700" width="16.28515625" customWidth="1"/>
    <col min="5701" max="5701" width="8.7109375" customWidth="1"/>
    <col min="5702" max="5704" width="16.28515625" customWidth="1"/>
    <col min="5705" max="5706" width="16.42578125" customWidth="1"/>
    <col min="5707" max="5707" width="8.7109375" customWidth="1"/>
    <col min="5708" max="5711" width="16.42578125" customWidth="1"/>
    <col min="5712" max="5712" width="14.42578125" bestFit="1" customWidth="1"/>
    <col min="5713" max="5713" width="8.7109375" customWidth="1"/>
    <col min="5714" max="5718" width="14.42578125" bestFit="1" customWidth="1"/>
    <col min="5719" max="5719" width="8.7109375" customWidth="1"/>
    <col min="5720" max="5724" width="14.42578125" bestFit="1" customWidth="1"/>
    <col min="5725" max="5725" width="8.7109375" customWidth="1"/>
    <col min="5726" max="5730" width="14.42578125" bestFit="1" customWidth="1"/>
    <col min="5731" max="5731" width="8.7109375" customWidth="1"/>
    <col min="5732" max="5736" width="14.42578125" bestFit="1" customWidth="1"/>
    <col min="5737" max="5737" width="8.7109375" customWidth="1"/>
    <col min="5738" max="5742" width="14.42578125" bestFit="1" customWidth="1"/>
    <col min="5743" max="5743" width="4.5703125" customWidth="1"/>
    <col min="5912" max="5912" width="3.5703125" customWidth="1"/>
    <col min="5913" max="5913" width="36.42578125" customWidth="1"/>
    <col min="5914" max="5919" width="16.28515625" customWidth="1"/>
    <col min="5920" max="5920" width="8.7109375" customWidth="1"/>
    <col min="5921" max="5927" width="16.28515625" customWidth="1"/>
    <col min="5928" max="5928" width="8.7109375" customWidth="1"/>
    <col min="5929" max="5938" width="16.28515625" customWidth="1"/>
    <col min="5939" max="5939" width="8.7109375" customWidth="1"/>
    <col min="5940" max="5944" width="16.28515625" customWidth="1"/>
    <col min="5945" max="5945" width="8.7109375" customWidth="1"/>
    <col min="5946" max="5950" width="16.28515625" customWidth="1"/>
    <col min="5951" max="5951" width="8.7109375" customWidth="1"/>
    <col min="5952" max="5956" width="16.28515625" customWidth="1"/>
    <col min="5957" max="5957" width="8.7109375" customWidth="1"/>
    <col min="5958" max="5960" width="16.28515625" customWidth="1"/>
    <col min="5961" max="5962" width="16.42578125" customWidth="1"/>
    <col min="5963" max="5963" width="8.7109375" customWidth="1"/>
    <col min="5964" max="5967" width="16.42578125" customWidth="1"/>
    <col min="5968" max="5968" width="14.42578125" bestFit="1" customWidth="1"/>
    <col min="5969" max="5969" width="8.7109375" customWidth="1"/>
    <col min="5970" max="5974" width="14.42578125" bestFit="1" customWidth="1"/>
    <col min="5975" max="5975" width="8.7109375" customWidth="1"/>
    <col min="5976" max="5980" width="14.42578125" bestFit="1" customWidth="1"/>
    <col min="5981" max="5981" width="8.7109375" customWidth="1"/>
    <col min="5982" max="5986" width="14.42578125" bestFit="1" customWidth="1"/>
    <col min="5987" max="5987" width="8.7109375" customWidth="1"/>
    <col min="5988" max="5992" width="14.42578125" bestFit="1" customWidth="1"/>
    <col min="5993" max="5993" width="8.7109375" customWidth="1"/>
    <col min="5994" max="5998" width="14.42578125" bestFit="1" customWidth="1"/>
    <col min="5999" max="5999" width="4.5703125" customWidth="1"/>
    <col min="6168" max="6168" width="3.5703125" customWidth="1"/>
    <col min="6169" max="6169" width="36.42578125" customWidth="1"/>
    <col min="6170" max="6175" width="16.28515625" customWidth="1"/>
    <col min="6176" max="6176" width="8.7109375" customWidth="1"/>
    <col min="6177" max="6183" width="16.28515625" customWidth="1"/>
    <col min="6184" max="6184" width="8.7109375" customWidth="1"/>
    <col min="6185" max="6194" width="16.28515625" customWidth="1"/>
    <col min="6195" max="6195" width="8.7109375" customWidth="1"/>
    <col min="6196" max="6200" width="16.28515625" customWidth="1"/>
    <col min="6201" max="6201" width="8.7109375" customWidth="1"/>
    <col min="6202" max="6206" width="16.28515625" customWidth="1"/>
    <col min="6207" max="6207" width="8.7109375" customWidth="1"/>
    <col min="6208" max="6212" width="16.28515625" customWidth="1"/>
    <col min="6213" max="6213" width="8.7109375" customWidth="1"/>
    <col min="6214" max="6216" width="16.28515625" customWidth="1"/>
    <col min="6217" max="6218" width="16.42578125" customWidth="1"/>
    <col min="6219" max="6219" width="8.7109375" customWidth="1"/>
    <col min="6220" max="6223" width="16.42578125" customWidth="1"/>
    <col min="6224" max="6224" width="14.42578125" bestFit="1" customWidth="1"/>
    <col min="6225" max="6225" width="8.7109375" customWidth="1"/>
    <col min="6226" max="6230" width="14.42578125" bestFit="1" customWidth="1"/>
    <col min="6231" max="6231" width="8.7109375" customWidth="1"/>
    <col min="6232" max="6236" width="14.42578125" bestFit="1" customWidth="1"/>
    <col min="6237" max="6237" width="8.7109375" customWidth="1"/>
    <col min="6238" max="6242" width="14.42578125" bestFit="1" customWidth="1"/>
    <col min="6243" max="6243" width="8.7109375" customWidth="1"/>
    <col min="6244" max="6248" width="14.42578125" bestFit="1" customWidth="1"/>
    <col min="6249" max="6249" width="8.7109375" customWidth="1"/>
    <col min="6250" max="6254" width="14.42578125" bestFit="1" customWidth="1"/>
    <col min="6255" max="6255" width="4.5703125" customWidth="1"/>
    <col min="6424" max="6424" width="3.5703125" customWidth="1"/>
    <col min="6425" max="6425" width="36.42578125" customWidth="1"/>
    <col min="6426" max="6431" width="16.28515625" customWidth="1"/>
    <col min="6432" max="6432" width="8.7109375" customWidth="1"/>
    <col min="6433" max="6439" width="16.28515625" customWidth="1"/>
    <col min="6440" max="6440" width="8.7109375" customWidth="1"/>
    <col min="6441" max="6450" width="16.28515625" customWidth="1"/>
    <col min="6451" max="6451" width="8.7109375" customWidth="1"/>
    <col min="6452" max="6456" width="16.28515625" customWidth="1"/>
    <col min="6457" max="6457" width="8.7109375" customWidth="1"/>
    <col min="6458" max="6462" width="16.28515625" customWidth="1"/>
    <col min="6463" max="6463" width="8.7109375" customWidth="1"/>
    <col min="6464" max="6468" width="16.28515625" customWidth="1"/>
    <col min="6469" max="6469" width="8.7109375" customWidth="1"/>
    <col min="6470" max="6472" width="16.28515625" customWidth="1"/>
    <col min="6473" max="6474" width="16.42578125" customWidth="1"/>
    <col min="6475" max="6475" width="8.7109375" customWidth="1"/>
    <col min="6476" max="6479" width="16.42578125" customWidth="1"/>
    <col min="6480" max="6480" width="14.42578125" bestFit="1" customWidth="1"/>
    <col min="6481" max="6481" width="8.7109375" customWidth="1"/>
    <col min="6482" max="6486" width="14.42578125" bestFit="1" customWidth="1"/>
    <col min="6487" max="6487" width="8.7109375" customWidth="1"/>
    <col min="6488" max="6492" width="14.42578125" bestFit="1" customWidth="1"/>
    <col min="6493" max="6493" width="8.7109375" customWidth="1"/>
    <col min="6494" max="6498" width="14.42578125" bestFit="1" customWidth="1"/>
    <col min="6499" max="6499" width="8.7109375" customWidth="1"/>
    <col min="6500" max="6504" width="14.42578125" bestFit="1" customWidth="1"/>
    <col min="6505" max="6505" width="8.7109375" customWidth="1"/>
    <col min="6506" max="6510" width="14.42578125" bestFit="1" customWidth="1"/>
    <col min="6511" max="6511" width="4.5703125" customWidth="1"/>
    <col min="6680" max="6680" width="3.5703125" customWidth="1"/>
    <col min="6681" max="6681" width="36.42578125" customWidth="1"/>
    <col min="6682" max="6687" width="16.28515625" customWidth="1"/>
    <col min="6688" max="6688" width="8.7109375" customWidth="1"/>
    <col min="6689" max="6695" width="16.28515625" customWidth="1"/>
    <col min="6696" max="6696" width="8.7109375" customWidth="1"/>
    <col min="6697" max="6706" width="16.28515625" customWidth="1"/>
    <col min="6707" max="6707" width="8.7109375" customWidth="1"/>
    <col min="6708" max="6712" width="16.28515625" customWidth="1"/>
    <col min="6713" max="6713" width="8.7109375" customWidth="1"/>
    <col min="6714" max="6718" width="16.28515625" customWidth="1"/>
    <col min="6719" max="6719" width="8.7109375" customWidth="1"/>
    <col min="6720" max="6724" width="16.28515625" customWidth="1"/>
    <col min="6725" max="6725" width="8.7109375" customWidth="1"/>
    <col min="6726" max="6728" width="16.28515625" customWidth="1"/>
    <col min="6729" max="6730" width="16.42578125" customWidth="1"/>
    <col min="6731" max="6731" width="8.7109375" customWidth="1"/>
    <col min="6732" max="6735" width="16.42578125" customWidth="1"/>
    <col min="6736" max="6736" width="14.42578125" bestFit="1" customWidth="1"/>
    <col min="6737" max="6737" width="8.7109375" customWidth="1"/>
    <col min="6738" max="6742" width="14.42578125" bestFit="1" customWidth="1"/>
    <col min="6743" max="6743" width="8.7109375" customWidth="1"/>
    <col min="6744" max="6748" width="14.42578125" bestFit="1" customWidth="1"/>
    <col min="6749" max="6749" width="8.7109375" customWidth="1"/>
    <col min="6750" max="6754" width="14.42578125" bestFit="1" customWidth="1"/>
    <col min="6755" max="6755" width="8.7109375" customWidth="1"/>
    <col min="6756" max="6760" width="14.42578125" bestFit="1" customWidth="1"/>
    <col min="6761" max="6761" width="8.7109375" customWidth="1"/>
    <col min="6762" max="6766" width="14.42578125" bestFit="1" customWidth="1"/>
    <col min="6767" max="6767" width="4.5703125" customWidth="1"/>
    <col min="6936" max="6936" width="3.5703125" customWidth="1"/>
    <col min="6937" max="6937" width="36.42578125" customWidth="1"/>
    <col min="6938" max="6943" width="16.28515625" customWidth="1"/>
    <col min="6944" max="6944" width="8.7109375" customWidth="1"/>
    <col min="6945" max="6951" width="16.28515625" customWidth="1"/>
    <col min="6952" max="6952" width="8.7109375" customWidth="1"/>
    <col min="6953" max="6962" width="16.28515625" customWidth="1"/>
    <col min="6963" max="6963" width="8.7109375" customWidth="1"/>
    <col min="6964" max="6968" width="16.28515625" customWidth="1"/>
    <col min="6969" max="6969" width="8.7109375" customWidth="1"/>
    <col min="6970" max="6974" width="16.28515625" customWidth="1"/>
    <col min="6975" max="6975" width="8.7109375" customWidth="1"/>
    <col min="6976" max="6980" width="16.28515625" customWidth="1"/>
    <col min="6981" max="6981" width="8.7109375" customWidth="1"/>
    <col min="6982" max="6984" width="16.28515625" customWidth="1"/>
    <col min="6985" max="6986" width="16.42578125" customWidth="1"/>
    <col min="6987" max="6987" width="8.7109375" customWidth="1"/>
    <col min="6988" max="6991" width="16.42578125" customWidth="1"/>
    <col min="6992" max="6992" width="14.42578125" bestFit="1" customWidth="1"/>
    <col min="6993" max="6993" width="8.7109375" customWidth="1"/>
    <col min="6994" max="6998" width="14.42578125" bestFit="1" customWidth="1"/>
    <col min="6999" max="6999" width="8.7109375" customWidth="1"/>
    <col min="7000" max="7004" width="14.42578125" bestFit="1" customWidth="1"/>
    <col min="7005" max="7005" width="8.7109375" customWidth="1"/>
    <col min="7006" max="7010" width="14.42578125" bestFit="1" customWidth="1"/>
    <col min="7011" max="7011" width="8.7109375" customWidth="1"/>
    <col min="7012" max="7016" width="14.42578125" bestFit="1" customWidth="1"/>
    <col min="7017" max="7017" width="8.7109375" customWidth="1"/>
    <col min="7018" max="7022" width="14.42578125" bestFit="1" customWidth="1"/>
    <col min="7023" max="7023" width="4.5703125" customWidth="1"/>
    <col min="7192" max="7192" width="3.5703125" customWidth="1"/>
    <col min="7193" max="7193" width="36.42578125" customWidth="1"/>
    <col min="7194" max="7199" width="16.28515625" customWidth="1"/>
    <col min="7200" max="7200" width="8.7109375" customWidth="1"/>
    <col min="7201" max="7207" width="16.28515625" customWidth="1"/>
    <col min="7208" max="7208" width="8.7109375" customWidth="1"/>
    <col min="7209" max="7218" width="16.28515625" customWidth="1"/>
    <col min="7219" max="7219" width="8.7109375" customWidth="1"/>
    <col min="7220" max="7224" width="16.28515625" customWidth="1"/>
    <col min="7225" max="7225" width="8.7109375" customWidth="1"/>
    <col min="7226" max="7230" width="16.28515625" customWidth="1"/>
    <col min="7231" max="7231" width="8.7109375" customWidth="1"/>
    <col min="7232" max="7236" width="16.28515625" customWidth="1"/>
    <col min="7237" max="7237" width="8.7109375" customWidth="1"/>
    <col min="7238" max="7240" width="16.28515625" customWidth="1"/>
    <col min="7241" max="7242" width="16.42578125" customWidth="1"/>
    <col min="7243" max="7243" width="8.7109375" customWidth="1"/>
    <col min="7244" max="7247" width="16.42578125" customWidth="1"/>
    <col min="7248" max="7248" width="14.42578125" bestFit="1" customWidth="1"/>
    <col min="7249" max="7249" width="8.7109375" customWidth="1"/>
    <col min="7250" max="7254" width="14.42578125" bestFit="1" customWidth="1"/>
    <col min="7255" max="7255" width="8.7109375" customWidth="1"/>
    <col min="7256" max="7260" width="14.42578125" bestFit="1" customWidth="1"/>
    <col min="7261" max="7261" width="8.7109375" customWidth="1"/>
    <col min="7262" max="7266" width="14.42578125" bestFit="1" customWidth="1"/>
    <col min="7267" max="7267" width="8.7109375" customWidth="1"/>
    <col min="7268" max="7272" width="14.42578125" bestFit="1" customWidth="1"/>
    <col min="7273" max="7273" width="8.7109375" customWidth="1"/>
    <col min="7274" max="7278" width="14.42578125" bestFit="1" customWidth="1"/>
    <col min="7279" max="7279" width="4.5703125" customWidth="1"/>
    <col min="7448" max="7448" width="3.5703125" customWidth="1"/>
    <col min="7449" max="7449" width="36.42578125" customWidth="1"/>
    <col min="7450" max="7455" width="16.28515625" customWidth="1"/>
    <col min="7456" max="7456" width="8.7109375" customWidth="1"/>
    <col min="7457" max="7463" width="16.28515625" customWidth="1"/>
    <col min="7464" max="7464" width="8.7109375" customWidth="1"/>
    <col min="7465" max="7474" width="16.28515625" customWidth="1"/>
    <col min="7475" max="7475" width="8.7109375" customWidth="1"/>
    <col min="7476" max="7480" width="16.28515625" customWidth="1"/>
    <col min="7481" max="7481" width="8.7109375" customWidth="1"/>
    <col min="7482" max="7486" width="16.28515625" customWidth="1"/>
    <col min="7487" max="7487" width="8.7109375" customWidth="1"/>
    <col min="7488" max="7492" width="16.28515625" customWidth="1"/>
    <col min="7493" max="7493" width="8.7109375" customWidth="1"/>
    <col min="7494" max="7496" width="16.28515625" customWidth="1"/>
    <col min="7497" max="7498" width="16.42578125" customWidth="1"/>
    <col min="7499" max="7499" width="8.7109375" customWidth="1"/>
    <col min="7500" max="7503" width="16.42578125" customWidth="1"/>
    <col min="7504" max="7504" width="14.42578125" bestFit="1" customWidth="1"/>
    <col min="7505" max="7505" width="8.7109375" customWidth="1"/>
    <col min="7506" max="7510" width="14.42578125" bestFit="1" customWidth="1"/>
    <col min="7511" max="7511" width="8.7109375" customWidth="1"/>
    <col min="7512" max="7516" width="14.42578125" bestFit="1" customWidth="1"/>
    <col min="7517" max="7517" width="8.7109375" customWidth="1"/>
    <col min="7518" max="7522" width="14.42578125" bestFit="1" customWidth="1"/>
    <col min="7523" max="7523" width="8.7109375" customWidth="1"/>
    <col min="7524" max="7528" width="14.42578125" bestFit="1" customWidth="1"/>
    <col min="7529" max="7529" width="8.7109375" customWidth="1"/>
    <col min="7530" max="7534" width="14.42578125" bestFit="1" customWidth="1"/>
    <col min="7535" max="7535" width="4.5703125" customWidth="1"/>
    <col min="7704" max="7704" width="3.5703125" customWidth="1"/>
    <col min="7705" max="7705" width="36.42578125" customWidth="1"/>
    <col min="7706" max="7711" width="16.28515625" customWidth="1"/>
    <col min="7712" max="7712" width="8.7109375" customWidth="1"/>
    <col min="7713" max="7719" width="16.28515625" customWidth="1"/>
    <col min="7720" max="7720" width="8.7109375" customWidth="1"/>
    <col min="7721" max="7730" width="16.28515625" customWidth="1"/>
    <col min="7731" max="7731" width="8.7109375" customWidth="1"/>
    <col min="7732" max="7736" width="16.28515625" customWidth="1"/>
    <col min="7737" max="7737" width="8.7109375" customWidth="1"/>
    <col min="7738" max="7742" width="16.28515625" customWidth="1"/>
    <col min="7743" max="7743" width="8.7109375" customWidth="1"/>
    <col min="7744" max="7748" width="16.28515625" customWidth="1"/>
    <col min="7749" max="7749" width="8.7109375" customWidth="1"/>
    <col min="7750" max="7752" width="16.28515625" customWidth="1"/>
    <col min="7753" max="7754" width="16.42578125" customWidth="1"/>
    <col min="7755" max="7755" width="8.7109375" customWidth="1"/>
    <col min="7756" max="7759" width="16.42578125" customWidth="1"/>
    <col min="7760" max="7760" width="14.42578125" bestFit="1" customWidth="1"/>
    <col min="7761" max="7761" width="8.7109375" customWidth="1"/>
    <col min="7762" max="7766" width="14.42578125" bestFit="1" customWidth="1"/>
    <col min="7767" max="7767" width="8.7109375" customWidth="1"/>
    <col min="7768" max="7772" width="14.42578125" bestFit="1" customWidth="1"/>
    <col min="7773" max="7773" width="8.7109375" customWidth="1"/>
    <col min="7774" max="7778" width="14.42578125" bestFit="1" customWidth="1"/>
    <col min="7779" max="7779" width="8.7109375" customWidth="1"/>
    <col min="7780" max="7784" width="14.42578125" bestFit="1" customWidth="1"/>
    <col min="7785" max="7785" width="8.7109375" customWidth="1"/>
    <col min="7786" max="7790" width="14.42578125" bestFit="1" customWidth="1"/>
    <col min="7791" max="7791" width="4.5703125" customWidth="1"/>
    <col min="7960" max="7960" width="3.5703125" customWidth="1"/>
    <col min="7961" max="7961" width="36.42578125" customWidth="1"/>
    <col min="7962" max="7967" width="16.28515625" customWidth="1"/>
    <col min="7968" max="7968" width="8.7109375" customWidth="1"/>
    <col min="7969" max="7975" width="16.28515625" customWidth="1"/>
    <col min="7976" max="7976" width="8.7109375" customWidth="1"/>
    <col min="7977" max="7986" width="16.28515625" customWidth="1"/>
    <col min="7987" max="7987" width="8.7109375" customWidth="1"/>
    <col min="7988" max="7992" width="16.28515625" customWidth="1"/>
    <col min="7993" max="7993" width="8.7109375" customWidth="1"/>
    <col min="7994" max="7998" width="16.28515625" customWidth="1"/>
    <col min="7999" max="7999" width="8.7109375" customWidth="1"/>
    <col min="8000" max="8004" width="16.28515625" customWidth="1"/>
    <col min="8005" max="8005" width="8.7109375" customWidth="1"/>
    <col min="8006" max="8008" width="16.28515625" customWidth="1"/>
    <col min="8009" max="8010" width="16.42578125" customWidth="1"/>
    <col min="8011" max="8011" width="8.7109375" customWidth="1"/>
    <col min="8012" max="8015" width="16.42578125" customWidth="1"/>
    <col min="8016" max="8016" width="14.42578125" bestFit="1" customWidth="1"/>
    <col min="8017" max="8017" width="8.7109375" customWidth="1"/>
    <col min="8018" max="8022" width="14.42578125" bestFit="1" customWidth="1"/>
    <col min="8023" max="8023" width="8.7109375" customWidth="1"/>
    <col min="8024" max="8028" width="14.42578125" bestFit="1" customWidth="1"/>
    <col min="8029" max="8029" width="8.7109375" customWidth="1"/>
    <col min="8030" max="8034" width="14.42578125" bestFit="1" customWidth="1"/>
    <col min="8035" max="8035" width="8.7109375" customWidth="1"/>
    <col min="8036" max="8040" width="14.42578125" bestFit="1" customWidth="1"/>
    <col min="8041" max="8041" width="8.7109375" customWidth="1"/>
    <col min="8042" max="8046" width="14.42578125" bestFit="1" customWidth="1"/>
    <col min="8047" max="8047" width="4.5703125" customWidth="1"/>
    <col min="8216" max="8216" width="3.5703125" customWidth="1"/>
    <col min="8217" max="8217" width="36.42578125" customWidth="1"/>
    <col min="8218" max="8223" width="16.28515625" customWidth="1"/>
    <col min="8224" max="8224" width="8.7109375" customWidth="1"/>
    <col min="8225" max="8231" width="16.28515625" customWidth="1"/>
    <col min="8232" max="8232" width="8.7109375" customWidth="1"/>
    <col min="8233" max="8242" width="16.28515625" customWidth="1"/>
    <col min="8243" max="8243" width="8.7109375" customWidth="1"/>
    <col min="8244" max="8248" width="16.28515625" customWidth="1"/>
    <col min="8249" max="8249" width="8.7109375" customWidth="1"/>
    <col min="8250" max="8254" width="16.28515625" customWidth="1"/>
    <col min="8255" max="8255" width="8.7109375" customWidth="1"/>
    <col min="8256" max="8260" width="16.28515625" customWidth="1"/>
    <col min="8261" max="8261" width="8.7109375" customWidth="1"/>
    <col min="8262" max="8264" width="16.28515625" customWidth="1"/>
    <col min="8265" max="8266" width="16.42578125" customWidth="1"/>
    <col min="8267" max="8267" width="8.7109375" customWidth="1"/>
    <col min="8268" max="8271" width="16.42578125" customWidth="1"/>
    <col min="8272" max="8272" width="14.42578125" bestFit="1" customWidth="1"/>
    <col min="8273" max="8273" width="8.7109375" customWidth="1"/>
    <col min="8274" max="8278" width="14.42578125" bestFit="1" customWidth="1"/>
    <col min="8279" max="8279" width="8.7109375" customWidth="1"/>
    <col min="8280" max="8284" width="14.42578125" bestFit="1" customWidth="1"/>
    <col min="8285" max="8285" width="8.7109375" customWidth="1"/>
    <col min="8286" max="8290" width="14.42578125" bestFit="1" customWidth="1"/>
    <col min="8291" max="8291" width="8.7109375" customWidth="1"/>
    <col min="8292" max="8296" width="14.42578125" bestFit="1" customWidth="1"/>
    <col min="8297" max="8297" width="8.7109375" customWidth="1"/>
    <col min="8298" max="8302" width="14.42578125" bestFit="1" customWidth="1"/>
    <col min="8303" max="8303" width="4.5703125" customWidth="1"/>
    <col min="8472" max="8472" width="3.5703125" customWidth="1"/>
    <col min="8473" max="8473" width="36.42578125" customWidth="1"/>
    <col min="8474" max="8479" width="16.28515625" customWidth="1"/>
    <col min="8480" max="8480" width="8.7109375" customWidth="1"/>
    <col min="8481" max="8487" width="16.28515625" customWidth="1"/>
    <col min="8488" max="8488" width="8.7109375" customWidth="1"/>
    <col min="8489" max="8498" width="16.28515625" customWidth="1"/>
    <col min="8499" max="8499" width="8.7109375" customWidth="1"/>
    <col min="8500" max="8504" width="16.28515625" customWidth="1"/>
    <col min="8505" max="8505" width="8.7109375" customWidth="1"/>
    <col min="8506" max="8510" width="16.28515625" customWidth="1"/>
    <col min="8511" max="8511" width="8.7109375" customWidth="1"/>
    <col min="8512" max="8516" width="16.28515625" customWidth="1"/>
    <col min="8517" max="8517" width="8.7109375" customWidth="1"/>
    <col min="8518" max="8520" width="16.28515625" customWidth="1"/>
    <col min="8521" max="8522" width="16.42578125" customWidth="1"/>
    <col min="8523" max="8523" width="8.7109375" customWidth="1"/>
    <col min="8524" max="8527" width="16.42578125" customWidth="1"/>
    <col min="8528" max="8528" width="14.42578125" bestFit="1" customWidth="1"/>
    <col min="8529" max="8529" width="8.7109375" customWidth="1"/>
    <col min="8530" max="8534" width="14.42578125" bestFit="1" customWidth="1"/>
    <col min="8535" max="8535" width="8.7109375" customWidth="1"/>
    <col min="8536" max="8540" width="14.42578125" bestFit="1" customWidth="1"/>
    <col min="8541" max="8541" width="8.7109375" customWidth="1"/>
    <col min="8542" max="8546" width="14.42578125" bestFit="1" customWidth="1"/>
    <col min="8547" max="8547" width="8.7109375" customWidth="1"/>
    <col min="8548" max="8552" width="14.42578125" bestFit="1" customWidth="1"/>
    <col min="8553" max="8553" width="8.7109375" customWidth="1"/>
    <col min="8554" max="8558" width="14.42578125" bestFit="1" customWidth="1"/>
    <col min="8559" max="8559" width="4.5703125" customWidth="1"/>
    <col min="8728" max="8728" width="3.5703125" customWidth="1"/>
    <col min="8729" max="8729" width="36.42578125" customWidth="1"/>
    <col min="8730" max="8735" width="16.28515625" customWidth="1"/>
    <col min="8736" max="8736" width="8.7109375" customWidth="1"/>
    <col min="8737" max="8743" width="16.28515625" customWidth="1"/>
    <col min="8744" max="8744" width="8.7109375" customWidth="1"/>
    <col min="8745" max="8754" width="16.28515625" customWidth="1"/>
    <col min="8755" max="8755" width="8.7109375" customWidth="1"/>
    <col min="8756" max="8760" width="16.28515625" customWidth="1"/>
    <col min="8761" max="8761" width="8.7109375" customWidth="1"/>
    <col min="8762" max="8766" width="16.28515625" customWidth="1"/>
    <col min="8767" max="8767" width="8.7109375" customWidth="1"/>
    <col min="8768" max="8772" width="16.28515625" customWidth="1"/>
    <col min="8773" max="8773" width="8.7109375" customWidth="1"/>
    <col min="8774" max="8776" width="16.28515625" customWidth="1"/>
    <col min="8777" max="8778" width="16.42578125" customWidth="1"/>
    <col min="8779" max="8779" width="8.7109375" customWidth="1"/>
    <col min="8780" max="8783" width="16.42578125" customWidth="1"/>
    <col min="8784" max="8784" width="14.42578125" bestFit="1" customWidth="1"/>
    <col min="8785" max="8785" width="8.7109375" customWidth="1"/>
    <col min="8786" max="8790" width="14.42578125" bestFit="1" customWidth="1"/>
    <col min="8791" max="8791" width="8.7109375" customWidth="1"/>
    <col min="8792" max="8796" width="14.42578125" bestFit="1" customWidth="1"/>
    <col min="8797" max="8797" width="8.7109375" customWidth="1"/>
    <col min="8798" max="8802" width="14.42578125" bestFit="1" customWidth="1"/>
    <col min="8803" max="8803" width="8.7109375" customWidth="1"/>
    <col min="8804" max="8808" width="14.42578125" bestFit="1" customWidth="1"/>
    <col min="8809" max="8809" width="8.7109375" customWidth="1"/>
    <col min="8810" max="8814" width="14.42578125" bestFit="1" customWidth="1"/>
    <col min="8815" max="8815" width="4.5703125" customWidth="1"/>
    <col min="8984" max="8984" width="3.5703125" customWidth="1"/>
    <col min="8985" max="8985" width="36.42578125" customWidth="1"/>
    <col min="8986" max="8991" width="16.28515625" customWidth="1"/>
    <col min="8992" max="8992" width="8.7109375" customWidth="1"/>
    <col min="8993" max="8999" width="16.28515625" customWidth="1"/>
    <col min="9000" max="9000" width="8.7109375" customWidth="1"/>
    <col min="9001" max="9010" width="16.28515625" customWidth="1"/>
    <col min="9011" max="9011" width="8.7109375" customWidth="1"/>
    <col min="9012" max="9016" width="16.28515625" customWidth="1"/>
    <col min="9017" max="9017" width="8.7109375" customWidth="1"/>
    <col min="9018" max="9022" width="16.28515625" customWidth="1"/>
    <col min="9023" max="9023" width="8.7109375" customWidth="1"/>
    <col min="9024" max="9028" width="16.28515625" customWidth="1"/>
    <col min="9029" max="9029" width="8.7109375" customWidth="1"/>
    <col min="9030" max="9032" width="16.28515625" customWidth="1"/>
    <col min="9033" max="9034" width="16.42578125" customWidth="1"/>
    <col min="9035" max="9035" width="8.7109375" customWidth="1"/>
    <col min="9036" max="9039" width="16.42578125" customWidth="1"/>
    <col min="9040" max="9040" width="14.42578125" bestFit="1" customWidth="1"/>
    <col min="9041" max="9041" width="8.7109375" customWidth="1"/>
    <col min="9042" max="9046" width="14.42578125" bestFit="1" customWidth="1"/>
    <col min="9047" max="9047" width="8.7109375" customWidth="1"/>
    <col min="9048" max="9052" width="14.42578125" bestFit="1" customWidth="1"/>
    <col min="9053" max="9053" width="8.7109375" customWidth="1"/>
    <col min="9054" max="9058" width="14.42578125" bestFit="1" customWidth="1"/>
    <col min="9059" max="9059" width="8.7109375" customWidth="1"/>
    <col min="9060" max="9064" width="14.42578125" bestFit="1" customWidth="1"/>
    <col min="9065" max="9065" width="8.7109375" customWidth="1"/>
    <col min="9066" max="9070" width="14.42578125" bestFit="1" customWidth="1"/>
    <col min="9071" max="9071" width="4.5703125" customWidth="1"/>
    <col min="9240" max="9240" width="3.5703125" customWidth="1"/>
    <col min="9241" max="9241" width="36.42578125" customWidth="1"/>
    <col min="9242" max="9247" width="16.28515625" customWidth="1"/>
    <col min="9248" max="9248" width="8.7109375" customWidth="1"/>
    <col min="9249" max="9255" width="16.28515625" customWidth="1"/>
    <col min="9256" max="9256" width="8.7109375" customWidth="1"/>
    <col min="9257" max="9266" width="16.28515625" customWidth="1"/>
    <col min="9267" max="9267" width="8.7109375" customWidth="1"/>
    <col min="9268" max="9272" width="16.28515625" customWidth="1"/>
    <col min="9273" max="9273" width="8.7109375" customWidth="1"/>
    <col min="9274" max="9278" width="16.28515625" customWidth="1"/>
    <col min="9279" max="9279" width="8.7109375" customWidth="1"/>
    <col min="9280" max="9284" width="16.28515625" customWidth="1"/>
    <col min="9285" max="9285" width="8.7109375" customWidth="1"/>
    <col min="9286" max="9288" width="16.28515625" customWidth="1"/>
    <col min="9289" max="9290" width="16.42578125" customWidth="1"/>
    <col min="9291" max="9291" width="8.7109375" customWidth="1"/>
    <col min="9292" max="9295" width="16.42578125" customWidth="1"/>
    <col min="9296" max="9296" width="14.42578125" bestFit="1" customWidth="1"/>
    <col min="9297" max="9297" width="8.7109375" customWidth="1"/>
    <col min="9298" max="9302" width="14.42578125" bestFit="1" customWidth="1"/>
    <col min="9303" max="9303" width="8.7109375" customWidth="1"/>
    <col min="9304" max="9308" width="14.42578125" bestFit="1" customWidth="1"/>
    <col min="9309" max="9309" width="8.7109375" customWidth="1"/>
    <col min="9310" max="9314" width="14.42578125" bestFit="1" customWidth="1"/>
    <col min="9315" max="9315" width="8.7109375" customWidth="1"/>
    <col min="9316" max="9320" width="14.42578125" bestFit="1" customWidth="1"/>
    <col min="9321" max="9321" width="8.7109375" customWidth="1"/>
    <col min="9322" max="9326" width="14.42578125" bestFit="1" customWidth="1"/>
    <col min="9327" max="9327" width="4.5703125" customWidth="1"/>
    <col min="9496" max="9496" width="3.5703125" customWidth="1"/>
    <col min="9497" max="9497" width="36.42578125" customWidth="1"/>
    <col min="9498" max="9503" width="16.28515625" customWidth="1"/>
    <col min="9504" max="9504" width="8.7109375" customWidth="1"/>
    <col min="9505" max="9511" width="16.28515625" customWidth="1"/>
    <col min="9512" max="9512" width="8.7109375" customWidth="1"/>
    <col min="9513" max="9522" width="16.28515625" customWidth="1"/>
    <col min="9523" max="9523" width="8.7109375" customWidth="1"/>
    <col min="9524" max="9528" width="16.28515625" customWidth="1"/>
    <col min="9529" max="9529" width="8.7109375" customWidth="1"/>
    <col min="9530" max="9534" width="16.28515625" customWidth="1"/>
    <col min="9535" max="9535" width="8.7109375" customWidth="1"/>
    <col min="9536" max="9540" width="16.28515625" customWidth="1"/>
    <col min="9541" max="9541" width="8.7109375" customWidth="1"/>
    <col min="9542" max="9544" width="16.28515625" customWidth="1"/>
    <col min="9545" max="9546" width="16.42578125" customWidth="1"/>
    <col min="9547" max="9547" width="8.7109375" customWidth="1"/>
    <col min="9548" max="9551" width="16.42578125" customWidth="1"/>
    <col min="9552" max="9552" width="14.42578125" bestFit="1" customWidth="1"/>
    <col min="9553" max="9553" width="8.7109375" customWidth="1"/>
    <col min="9554" max="9558" width="14.42578125" bestFit="1" customWidth="1"/>
    <col min="9559" max="9559" width="8.7109375" customWidth="1"/>
    <col min="9560" max="9564" width="14.42578125" bestFit="1" customWidth="1"/>
    <col min="9565" max="9565" width="8.7109375" customWidth="1"/>
    <col min="9566" max="9570" width="14.42578125" bestFit="1" customWidth="1"/>
    <col min="9571" max="9571" width="8.7109375" customWidth="1"/>
    <col min="9572" max="9576" width="14.42578125" bestFit="1" customWidth="1"/>
    <col min="9577" max="9577" width="8.7109375" customWidth="1"/>
    <col min="9578" max="9582" width="14.42578125" bestFit="1" customWidth="1"/>
    <col min="9583" max="9583" width="4.5703125" customWidth="1"/>
    <col min="9752" max="9752" width="3.5703125" customWidth="1"/>
    <col min="9753" max="9753" width="36.42578125" customWidth="1"/>
    <col min="9754" max="9759" width="16.28515625" customWidth="1"/>
    <col min="9760" max="9760" width="8.7109375" customWidth="1"/>
    <col min="9761" max="9767" width="16.28515625" customWidth="1"/>
    <col min="9768" max="9768" width="8.7109375" customWidth="1"/>
    <col min="9769" max="9778" width="16.28515625" customWidth="1"/>
    <col min="9779" max="9779" width="8.7109375" customWidth="1"/>
    <col min="9780" max="9784" width="16.28515625" customWidth="1"/>
    <col min="9785" max="9785" width="8.7109375" customWidth="1"/>
    <col min="9786" max="9790" width="16.28515625" customWidth="1"/>
    <col min="9791" max="9791" width="8.7109375" customWidth="1"/>
    <col min="9792" max="9796" width="16.28515625" customWidth="1"/>
    <col min="9797" max="9797" width="8.7109375" customWidth="1"/>
    <col min="9798" max="9800" width="16.28515625" customWidth="1"/>
    <col min="9801" max="9802" width="16.42578125" customWidth="1"/>
    <col min="9803" max="9803" width="8.7109375" customWidth="1"/>
    <col min="9804" max="9807" width="16.42578125" customWidth="1"/>
    <col min="9808" max="9808" width="14.42578125" bestFit="1" customWidth="1"/>
    <col min="9809" max="9809" width="8.7109375" customWidth="1"/>
    <col min="9810" max="9814" width="14.42578125" bestFit="1" customWidth="1"/>
    <col min="9815" max="9815" width="8.7109375" customWidth="1"/>
    <col min="9816" max="9820" width="14.42578125" bestFit="1" customWidth="1"/>
    <col min="9821" max="9821" width="8.7109375" customWidth="1"/>
    <col min="9822" max="9826" width="14.42578125" bestFit="1" customWidth="1"/>
    <col min="9827" max="9827" width="8.7109375" customWidth="1"/>
    <col min="9828" max="9832" width="14.42578125" bestFit="1" customWidth="1"/>
    <col min="9833" max="9833" width="8.7109375" customWidth="1"/>
    <col min="9834" max="9838" width="14.42578125" bestFit="1" customWidth="1"/>
    <col min="9839" max="9839" width="4.5703125" customWidth="1"/>
    <col min="10008" max="10008" width="3.5703125" customWidth="1"/>
    <col min="10009" max="10009" width="36.42578125" customWidth="1"/>
    <col min="10010" max="10015" width="16.28515625" customWidth="1"/>
    <col min="10016" max="10016" width="8.7109375" customWidth="1"/>
    <col min="10017" max="10023" width="16.28515625" customWidth="1"/>
    <col min="10024" max="10024" width="8.7109375" customWidth="1"/>
    <col min="10025" max="10034" width="16.28515625" customWidth="1"/>
    <col min="10035" max="10035" width="8.7109375" customWidth="1"/>
    <col min="10036" max="10040" width="16.28515625" customWidth="1"/>
    <col min="10041" max="10041" width="8.7109375" customWidth="1"/>
    <col min="10042" max="10046" width="16.28515625" customWidth="1"/>
    <col min="10047" max="10047" width="8.7109375" customWidth="1"/>
    <col min="10048" max="10052" width="16.28515625" customWidth="1"/>
    <col min="10053" max="10053" width="8.7109375" customWidth="1"/>
    <col min="10054" max="10056" width="16.28515625" customWidth="1"/>
    <col min="10057" max="10058" width="16.42578125" customWidth="1"/>
    <col min="10059" max="10059" width="8.7109375" customWidth="1"/>
    <col min="10060" max="10063" width="16.42578125" customWidth="1"/>
    <col min="10064" max="10064" width="14.42578125" bestFit="1" customWidth="1"/>
    <col min="10065" max="10065" width="8.7109375" customWidth="1"/>
    <col min="10066" max="10070" width="14.42578125" bestFit="1" customWidth="1"/>
    <col min="10071" max="10071" width="8.7109375" customWidth="1"/>
    <col min="10072" max="10076" width="14.42578125" bestFit="1" customWidth="1"/>
    <col min="10077" max="10077" width="8.7109375" customWidth="1"/>
    <col min="10078" max="10082" width="14.42578125" bestFit="1" customWidth="1"/>
    <col min="10083" max="10083" width="8.7109375" customWidth="1"/>
    <col min="10084" max="10088" width="14.42578125" bestFit="1" customWidth="1"/>
    <col min="10089" max="10089" width="8.7109375" customWidth="1"/>
    <col min="10090" max="10094" width="14.42578125" bestFit="1" customWidth="1"/>
    <col min="10095" max="10095" width="4.5703125" customWidth="1"/>
    <col min="10264" max="10264" width="3.5703125" customWidth="1"/>
    <col min="10265" max="10265" width="36.42578125" customWidth="1"/>
    <col min="10266" max="10271" width="16.28515625" customWidth="1"/>
    <col min="10272" max="10272" width="8.7109375" customWidth="1"/>
    <col min="10273" max="10279" width="16.28515625" customWidth="1"/>
    <col min="10280" max="10280" width="8.7109375" customWidth="1"/>
    <col min="10281" max="10290" width="16.28515625" customWidth="1"/>
    <col min="10291" max="10291" width="8.7109375" customWidth="1"/>
    <col min="10292" max="10296" width="16.28515625" customWidth="1"/>
    <col min="10297" max="10297" width="8.7109375" customWidth="1"/>
    <col min="10298" max="10302" width="16.28515625" customWidth="1"/>
    <col min="10303" max="10303" width="8.7109375" customWidth="1"/>
    <col min="10304" max="10308" width="16.28515625" customWidth="1"/>
    <col min="10309" max="10309" width="8.7109375" customWidth="1"/>
    <col min="10310" max="10312" width="16.28515625" customWidth="1"/>
    <col min="10313" max="10314" width="16.42578125" customWidth="1"/>
    <col min="10315" max="10315" width="8.7109375" customWidth="1"/>
    <col min="10316" max="10319" width="16.42578125" customWidth="1"/>
    <col min="10320" max="10320" width="14.42578125" bestFit="1" customWidth="1"/>
    <col min="10321" max="10321" width="8.7109375" customWidth="1"/>
    <col min="10322" max="10326" width="14.42578125" bestFit="1" customWidth="1"/>
    <col min="10327" max="10327" width="8.7109375" customWidth="1"/>
    <col min="10328" max="10332" width="14.42578125" bestFit="1" customWidth="1"/>
    <col min="10333" max="10333" width="8.7109375" customWidth="1"/>
    <col min="10334" max="10338" width="14.42578125" bestFit="1" customWidth="1"/>
    <col min="10339" max="10339" width="8.7109375" customWidth="1"/>
    <col min="10340" max="10344" width="14.42578125" bestFit="1" customWidth="1"/>
    <col min="10345" max="10345" width="8.7109375" customWidth="1"/>
    <col min="10346" max="10350" width="14.42578125" bestFit="1" customWidth="1"/>
    <col min="10351" max="10351" width="4.5703125" customWidth="1"/>
    <col min="10520" max="10520" width="3.5703125" customWidth="1"/>
    <col min="10521" max="10521" width="36.42578125" customWidth="1"/>
    <col min="10522" max="10527" width="16.28515625" customWidth="1"/>
    <col min="10528" max="10528" width="8.7109375" customWidth="1"/>
    <col min="10529" max="10535" width="16.28515625" customWidth="1"/>
    <col min="10536" max="10536" width="8.7109375" customWidth="1"/>
    <col min="10537" max="10546" width="16.28515625" customWidth="1"/>
    <col min="10547" max="10547" width="8.7109375" customWidth="1"/>
    <col min="10548" max="10552" width="16.28515625" customWidth="1"/>
    <col min="10553" max="10553" width="8.7109375" customWidth="1"/>
    <col min="10554" max="10558" width="16.28515625" customWidth="1"/>
    <col min="10559" max="10559" width="8.7109375" customWidth="1"/>
    <col min="10560" max="10564" width="16.28515625" customWidth="1"/>
    <col min="10565" max="10565" width="8.7109375" customWidth="1"/>
    <col min="10566" max="10568" width="16.28515625" customWidth="1"/>
    <col min="10569" max="10570" width="16.42578125" customWidth="1"/>
    <col min="10571" max="10571" width="8.7109375" customWidth="1"/>
    <col min="10572" max="10575" width="16.42578125" customWidth="1"/>
    <col min="10576" max="10576" width="14.42578125" bestFit="1" customWidth="1"/>
    <col min="10577" max="10577" width="8.7109375" customWidth="1"/>
    <col min="10578" max="10582" width="14.42578125" bestFit="1" customWidth="1"/>
    <col min="10583" max="10583" width="8.7109375" customWidth="1"/>
    <col min="10584" max="10588" width="14.42578125" bestFit="1" customWidth="1"/>
    <col min="10589" max="10589" width="8.7109375" customWidth="1"/>
    <col min="10590" max="10594" width="14.42578125" bestFit="1" customWidth="1"/>
    <col min="10595" max="10595" width="8.7109375" customWidth="1"/>
    <col min="10596" max="10600" width="14.42578125" bestFit="1" customWidth="1"/>
    <col min="10601" max="10601" width="8.7109375" customWidth="1"/>
    <col min="10602" max="10606" width="14.42578125" bestFit="1" customWidth="1"/>
    <col min="10607" max="10607" width="4.5703125" customWidth="1"/>
    <col min="10776" max="10776" width="3.5703125" customWidth="1"/>
    <col min="10777" max="10777" width="36.42578125" customWidth="1"/>
    <col min="10778" max="10783" width="16.28515625" customWidth="1"/>
    <col min="10784" max="10784" width="8.7109375" customWidth="1"/>
    <col min="10785" max="10791" width="16.28515625" customWidth="1"/>
    <col min="10792" max="10792" width="8.7109375" customWidth="1"/>
    <col min="10793" max="10802" width="16.28515625" customWidth="1"/>
    <col min="10803" max="10803" width="8.7109375" customWidth="1"/>
    <col min="10804" max="10808" width="16.28515625" customWidth="1"/>
    <col min="10809" max="10809" width="8.7109375" customWidth="1"/>
    <col min="10810" max="10814" width="16.28515625" customWidth="1"/>
    <col min="10815" max="10815" width="8.7109375" customWidth="1"/>
    <col min="10816" max="10820" width="16.28515625" customWidth="1"/>
    <col min="10821" max="10821" width="8.7109375" customWidth="1"/>
    <col min="10822" max="10824" width="16.28515625" customWidth="1"/>
    <col min="10825" max="10826" width="16.42578125" customWidth="1"/>
    <col min="10827" max="10827" width="8.7109375" customWidth="1"/>
    <col min="10828" max="10831" width="16.42578125" customWidth="1"/>
    <col min="10832" max="10832" width="14.42578125" bestFit="1" customWidth="1"/>
    <col min="10833" max="10833" width="8.7109375" customWidth="1"/>
    <col min="10834" max="10838" width="14.42578125" bestFit="1" customWidth="1"/>
    <col min="10839" max="10839" width="8.7109375" customWidth="1"/>
    <col min="10840" max="10844" width="14.42578125" bestFit="1" customWidth="1"/>
    <col min="10845" max="10845" width="8.7109375" customWidth="1"/>
    <col min="10846" max="10850" width="14.42578125" bestFit="1" customWidth="1"/>
    <col min="10851" max="10851" width="8.7109375" customWidth="1"/>
    <col min="10852" max="10856" width="14.42578125" bestFit="1" customWidth="1"/>
    <col min="10857" max="10857" width="8.7109375" customWidth="1"/>
    <col min="10858" max="10862" width="14.42578125" bestFit="1" customWidth="1"/>
    <col min="10863" max="10863" width="4.5703125" customWidth="1"/>
    <col min="11032" max="11032" width="3.5703125" customWidth="1"/>
    <col min="11033" max="11033" width="36.42578125" customWidth="1"/>
    <col min="11034" max="11039" width="16.28515625" customWidth="1"/>
    <col min="11040" max="11040" width="8.7109375" customWidth="1"/>
    <col min="11041" max="11047" width="16.28515625" customWidth="1"/>
    <col min="11048" max="11048" width="8.7109375" customWidth="1"/>
    <col min="11049" max="11058" width="16.28515625" customWidth="1"/>
    <col min="11059" max="11059" width="8.7109375" customWidth="1"/>
    <col min="11060" max="11064" width="16.28515625" customWidth="1"/>
    <col min="11065" max="11065" width="8.7109375" customWidth="1"/>
    <col min="11066" max="11070" width="16.28515625" customWidth="1"/>
    <col min="11071" max="11071" width="8.7109375" customWidth="1"/>
    <col min="11072" max="11076" width="16.28515625" customWidth="1"/>
    <col min="11077" max="11077" width="8.7109375" customWidth="1"/>
    <col min="11078" max="11080" width="16.28515625" customWidth="1"/>
    <col min="11081" max="11082" width="16.42578125" customWidth="1"/>
    <col min="11083" max="11083" width="8.7109375" customWidth="1"/>
    <col min="11084" max="11087" width="16.42578125" customWidth="1"/>
    <col min="11088" max="11088" width="14.42578125" bestFit="1" customWidth="1"/>
    <col min="11089" max="11089" width="8.7109375" customWidth="1"/>
    <col min="11090" max="11094" width="14.42578125" bestFit="1" customWidth="1"/>
    <col min="11095" max="11095" width="8.7109375" customWidth="1"/>
    <col min="11096" max="11100" width="14.42578125" bestFit="1" customWidth="1"/>
    <col min="11101" max="11101" width="8.7109375" customWidth="1"/>
    <col min="11102" max="11106" width="14.42578125" bestFit="1" customWidth="1"/>
    <col min="11107" max="11107" width="8.7109375" customWidth="1"/>
    <col min="11108" max="11112" width="14.42578125" bestFit="1" customWidth="1"/>
    <col min="11113" max="11113" width="8.7109375" customWidth="1"/>
    <col min="11114" max="11118" width="14.42578125" bestFit="1" customWidth="1"/>
    <col min="11119" max="11119" width="4.5703125" customWidth="1"/>
    <col min="11288" max="11288" width="3.5703125" customWidth="1"/>
    <col min="11289" max="11289" width="36.42578125" customWidth="1"/>
    <col min="11290" max="11295" width="16.28515625" customWidth="1"/>
    <col min="11296" max="11296" width="8.7109375" customWidth="1"/>
    <col min="11297" max="11303" width="16.28515625" customWidth="1"/>
    <col min="11304" max="11304" width="8.7109375" customWidth="1"/>
    <col min="11305" max="11314" width="16.28515625" customWidth="1"/>
    <col min="11315" max="11315" width="8.7109375" customWidth="1"/>
    <col min="11316" max="11320" width="16.28515625" customWidth="1"/>
    <col min="11321" max="11321" width="8.7109375" customWidth="1"/>
    <col min="11322" max="11326" width="16.28515625" customWidth="1"/>
    <col min="11327" max="11327" width="8.7109375" customWidth="1"/>
    <col min="11328" max="11332" width="16.28515625" customWidth="1"/>
    <col min="11333" max="11333" width="8.7109375" customWidth="1"/>
    <col min="11334" max="11336" width="16.28515625" customWidth="1"/>
    <col min="11337" max="11338" width="16.42578125" customWidth="1"/>
    <col min="11339" max="11339" width="8.7109375" customWidth="1"/>
    <col min="11340" max="11343" width="16.42578125" customWidth="1"/>
    <col min="11344" max="11344" width="14.42578125" bestFit="1" customWidth="1"/>
    <col min="11345" max="11345" width="8.7109375" customWidth="1"/>
    <col min="11346" max="11350" width="14.42578125" bestFit="1" customWidth="1"/>
    <col min="11351" max="11351" width="8.7109375" customWidth="1"/>
    <col min="11352" max="11356" width="14.42578125" bestFit="1" customWidth="1"/>
    <col min="11357" max="11357" width="8.7109375" customWidth="1"/>
    <col min="11358" max="11362" width="14.42578125" bestFit="1" customWidth="1"/>
    <col min="11363" max="11363" width="8.7109375" customWidth="1"/>
    <col min="11364" max="11368" width="14.42578125" bestFit="1" customWidth="1"/>
    <col min="11369" max="11369" width="8.7109375" customWidth="1"/>
    <col min="11370" max="11374" width="14.42578125" bestFit="1" customWidth="1"/>
    <col min="11375" max="11375" width="4.5703125" customWidth="1"/>
    <col min="11544" max="11544" width="3.5703125" customWidth="1"/>
    <col min="11545" max="11545" width="36.42578125" customWidth="1"/>
    <col min="11546" max="11551" width="16.28515625" customWidth="1"/>
    <col min="11552" max="11552" width="8.7109375" customWidth="1"/>
    <col min="11553" max="11559" width="16.28515625" customWidth="1"/>
    <col min="11560" max="11560" width="8.7109375" customWidth="1"/>
    <col min="11561" max="11570" width="16.28515625" customWidth="1"/>
    <col min="11571" max="11571" width="8.7109375" customWidth="1"/>
    <col min="11572" max="11576" width="16.28515625" customWidth="1"/>
    <col min="11577" max="11577" width="8.7109375" customWidth="1"/>
    <col min="11578" max="11582" width="16.28515625" customWidth="1"/>
    <col min="11583" max="11583" width="8.7109375" customWidth="1"/>
    <col min="11584" max="11588" width="16.28515625" customWidth="1"/>
    <col min="11589" max="11589" width="8.7109375" customWidth="1"/>
    <col min="11590" max="11592" width="16.28515625" customWidth="1"/>
    <col min="11593" max="11594" width="16.42578125" customWidth="1"/>
    <col min="11595" max="11595" width="8.7109375" customWidth="1"/>
    <col min="11596" max="11599" width="16.42578125" customWidth="1"/>
    <col min="11600" max="11600" width="14.42578125" bestFit="1" customWidth="1"/>
    <col min="11601" max="11601" width="8.7109375" customWidth="1"/>
    <col min="11602" max="11606" width="14.42578125" bestFit="1" customWidth="1"/>
    <col min="11607" max="11607" width="8.7109375" customWidth="1"/>
    <col min="11608" max="11612" width="14.42578125" bestFit="1" customWidth="1"/>
    <col min="11613" max="11613" width="8.7109375" customWidth="1"/>
    <col min="11614" max="11618" width="14.42578125" bestFit="1" customWidth="1"/>
    <col min="11619" max="11619" width="8.7109375" customWidth="1"/>
    <col min="11620" max="11624" width="14.42578125" bestFit="1" customWidth="1"/>
    <col min="11625" max="11625" width="8.7109375" customWidth="1"/>
    <col min="11626" max="11630" width="14.42578125" bestFit="1" customWidth="1"/>
    <col min="11631" max="11631" width="4.5703125" customWidth="1"/>
    <col min="11800" max="11800" width="3.5703125" customWidth="1"/>
    <col min="11801" max="11801" width="36.42578125" customWidth="1"/>
    <col min="11802" max="11807" width="16.28515625" customWidth="1"/>
    <col min="11808" max="11808" width="8.7109375" customWidth="1"/>
    <col min="11809" max="11815" width="16.28515625" customWidth="1"/>
    <col min="11816" max="11816" width="8.7109375" customWidth="1"/>
    <col min="11817" max="11826" width="16.28515625" customWidth="1"/>
    <col min="11827" max="11827" width="8.7109375" customWidth="1"/>
    <col min="11828" max="11832" width="16.28515625" customWidth="1"/>
    <col min="11833" max="11833" width="8.7109375" customWidth="1"/>
    <col min="11834" max="11838" width="16.28515625" customWidth="1"/>
    <col min="11839" max="11839" width="8.7109375" customWidth="1"/>
    <col min="11840" max="11844" width="16.28515625" customWidth="1"/>
    <col min="11845" max="11845" width="8.7109375" customWidth="1"/>
    <col min="11846" max="11848" width="16.28515625" customWidth="1"/>
    <col min="11849" max="11850" width="16.42578125" customWidth="1"/>
    <col min="11851" max="11851" width="8.7109375" customWidth="1"/>
    <col min="11852" max="11855" width="16.42578125" customWidth="1"/>
    <col min="11856" max="11856" width="14.42578125" bestFit="1" customWidth="1"/>
    <col min="11857" max="11857" width="8.7109375" customWidth="1"/>
    <col min="11858" max="11862" width="14.42578125" bestFit="1" customWidth="1"/>
    <col min="11863" max="11863" width="8.7109375" customWidth="1"/>
    <col min="11864" max="11868" width="14.42578125" bestFit="1" customWidth="1"/>
    <col min="11869" max="11869" width="8.7109375" customWidth="1"/>
    <col min="11870" max="11874" width="14.42578125" bestFit="1" customWidth="1"/>
    <col min="11875" max="11875" width="8.7109375" customWidth="1"/>
    <col min="11876" max="11880" width="14.42578125" bestFit="1" customWidth="1"/>
    <col min="11881" max="11881" width="8.7109375" customWidth="1"/>
    <col min="11882" max="11886" width="14.42578125" bestFit="1" customWidth="1"/>
    <col min="11887" max="11887" width="4.5703125" customWidth="1"/>
    <col min="12056" max="12056" width="3.5703125" customWidth="1"/>
    <col min="12057" max="12057" width="36.42578125" customWidth="1"/>
    <col min="12058" max="12063" width="16.28515625" customWidth="1"/>
    <col min="12064" max="12064" width="8.7109375" customWidth="1"/>
    <col min="12065" max="12071" width="16.28515625" customWidth="1"/>
    <col min="12072" max="12072" width="8.7109375" customWidth="1"/>
    <col min="12073" max="12082" width="16.28515625" customWidth="1"/>
    <col min="12083" max="12083" width="8.7109375" customWidth="1"/>
    <col min="12084" max="12088" width="16.28515625" customWidth="1"/>
    <col min="12089" max="12089" width="8.7109375" customWidth="1"/>
    <col min="12090" max="12094" width="16.28515625" customWidth="1"/>
    <col min="12095" max="12095" width="8.7109375" customWidth="1"/>
    <col min="12096" max="12100" width="16.28515625" customWidth="1"/>
    <col min="12101" max="12101" width="8.7109375" customWidth="1"/>
    <col min="12102" max="12104" width="16.28515625" customWidth="1"/>
    <col min="12105" max="12106" width="16.42578125" customWidth="1"/>
    <col min="12107" max="12107" width="8.7109375" customWidth="1"/>
    <col min="12108" max="12111" width="16.42578125" customWidth="1"/>
    <col min="12112" max="12112" width="14.42578125" bestFit="1" customWidth="1"/>
    <col min="12113" max="12113" width="8.7109375" customWidth="1"/>
    <col min="12114" max="12118" width="14.42578125" bestFit="1" customWidth="1"/>
    <col min="12119" max="12119" width="8.7109375" customWidth="1"/>
    <col min="12120" max="12124" width="14.42578125" bestFit="1" customWidth="1"/>
    <col min="12125" max="12125" width="8.7109375" customWidth="1"/>
    <col min="12126" max="12130" width="14.42578125" bestFit="1" customWidth="1"/>
    <col min="12131" max="12131" width="8.7109375" customWidth="1"/>
    <col min="12132" max="12136" width="14.42578125" bestFit="1" customWidth="1"/>
    <col min="12137" max="12137" width="8.7109375" customWidth="1"/>
    <col min="12138" max="12142" width="14.42578125" bestFit="1" customWidth="1"/>
    <col min="12143" max="12143" width="4.5703125" customWidth="1"/>
    <col min="12312" max="12312" width="3.5703125" customWidth="1"/>
    <col min="12313" max="12313" width="36.42578125" customWidth="1"/>
    <col min="12314" max="12319" width="16.28515625" customWidth="1"/>
    <col min="12320" max="12320" width="8.7109375" customWidth="1"/>
    <col min="12321" max="12327" width="16.28515625" customWidth="1"/>
    <col min="12328" max="12328" width="8.7109375" customWidth="1"/>
    <col min="12329" max="12338" width="16.28515625" customWidth="1"/>
    <col min="12339" max="12339" width="8.7109375" customWidth="1"/>
    <col min="12340" max="12344" width="16.28515625" customWidth="1"/>
    <col min="12345" max="12345" width="8.7109375" customWidth="1"/>
    <col min="12346" max="12350" width="16.28515625" customWidth="1"/>
    <col min="12351" max="12351" width="8.7109375" customWidth="1"/>
    <col min="12352" max="12356" width="16.28515625" customWidth="1"/>
    <col min="12357" max="12357" width="8.7109375" customWidth="1"/>
    <col min="12358" max="12360" width="16.28515625" customWidth="1"/>
    <col min="12361" max="12362" width="16.42578125" customWidth="1"/>
    <col min="12363" max="12363" width="8.7109375" customWidth="1"/>
    <col min="12364" max="12367" width="16.42578125" customWidth="1"/>
    <col min="12368" max="12368" width="14.42578125" bestFit="1" customWidth="1"/>
    <col min="12369" max="12369" width="8.7109375" customWidth="1"/>
    <col min="12370" max="12374" width="14.42578125" bestFit="1" customWidth="1"/>
    <col min="12375" max="12375" width="8.7109375" customWidth="1"/>
    <col min="12376" max="12380" width="14.42578125" bestFit="1" customWidth="1"/>
    <col min="12381" max="12381" width="8.7109375" customWidth="1"/>
    <col min="12382" max="12386" width="14.42578125" bestFit="1" customWidth="1"/>
    <col min="12387" max="12387" width="8.7109375" customWidth="1"/>
    <col min="12388" max="12392" width="14.42578125" bestFit="1" customWidth="1"/>
    <col min="12393" max="12393" width="8.7109375" customWidth="1"/>
    <col min="12394" max="12398" width="14.42578125" bestFit="1" customWidth="1"/>
    <col min="12399" max="12399" width="4.5703125" customWidth="1"/>
    <col min="12568" max="12568" width="3.5703125" customWidth="1"/>
    <col min="12569" max="12569" width="36.42578125" customWidth="1"/>
    <col min="12570" max="12575" width="16.28515625" customWidth="1"/>
    <col min="12576" max="12576" width="8.7109375" customWidth="1"/>
    <col min="12577" max="12583" width="16.28515625" customWidth="1"/>
    <col min="12584" max="12584" width="8.7109375" customWidth="1"/>
    <col min="12585" max="12594" width="16.28515625" customWidth="1"/>
    <col min="12595" max="12595" width="8.7109375" customWidth="1"/>
    <col min="12596" max="12600" width="16.28515625" customWidth="1"/>
    <col min="12601" max="12601" width="8.7109375" customWidth="1"/>
    <col min="12602" max="12606" width="16.28515625" customWidth="1"/>
    <col min="12607" max="12607" width="8.7109375" customWidth="1"/>
    <col min="12608" max="12612" width="16.28515625" customWidth="1"/>
    <col min="12613" max="12613" width="8.7109375" customWidth="1"/>
    <col min="12614" max="12616" width="16.28515625" customWidth="1"/>
    <col min="12617" max="12618" width="16.42578125" customWidth="1"/>
    <col min="12619" max="12619" width="8.7109375" customWidth="1"/>
    <col min="12620" max="12623" width="16.42578125" customWidth="1"/>
    <col min="12624" max="12624" width="14.42578125" bestFit="1" customWidth="1"/>
    <col min="12625" max="12625" width="8.7109375" customWidth="1"/>
    <col min="12626" max="12630" width="14.42578125" bestFit="1" customWidth="1"/>
    <col min="12631" max="12631" width="8.7109375" customWidth="1"/>
    <col min="12632" max="12636" width="14.42578125" bestFit="1" customWidth="1"/>
    <col min="12637" max="12637" width="8.7109375" customWidth="1"/>
    <col min="12638" max="12642" width="14.42578125" bestFit="1" customWidth="1"/>
    <col min="12643" max="12643" width="8.7109375" customWidth="1"/>
    <col min="12644" max="12648" width="14.42578125" bestFit="1" customWidth="1"/>
    <col min="12649" max="12649" width="8.7109375" customWidth="1"/>
    <col min="12650" max="12654" width="14.42578125" bestFit="1" customWidth="1"/>
    <col min="12655" max="12655" width="4.5703125" customWidth="1"/>
    <col min="12824" max="12824" width="3.5703125" customWidth="1"/>
    <col min="12825" max="12825" width="36.42578125" customWidth="1"/>
    <col min="12826" max="12831" width="16.28515625" customWidth="1"/>
    <col min="12832" max="12832" width="8.7109375" customWidth="1"/>
    <col min="12833" max="12839" width="16.28515625" customWidth="1"/>
    <col min="12840" max="12840" width="8.7109375" customWidth="1"/>
    <col min="12841" max="12850" width="16.28515625" customWidth="1"/>
    <col min="12851" max="12851" width="8.7109375" customWidth="1"/>
    <col min="12852" max="12856" width="16.28515625" customWidth="1"/>
    <col min="12857" max="12857" width="8.7109375" customWidth="1"/>
    <col min="12858" max="12862" width="16.28515625" customWidth="1"/>
    <col min="12863" max="12863" width="8.7109375" customWidth="1"/>
    <col min="12864" max="12868" width="16.28515625" customWidth="1"/>
    <col min="12869" max="12869" width="8.7109375" customWidth="1"/>
    <col min="12870" max="12872" width="16.28515625" customWidth="1"/>
    <col min="12873" max="12874" width="16.42578125" customWidth="1"/>
    <col min="12875" max="12875" width="8.7109375" customWidth="1"/>
    <col min="12876" max="12879" width="16.42578125" customWidth="1"/>
    <col min="12880" max="12880" width="14.42578125" bestFit="1" customWidth="1"/>
    <col min="12881" max="12881" width="8.7109375" customWidth="1"/>
    <col min="12882" max="12886" width="14.42578125" bestFit="1" customWidth="1"/>
    <col min="12887" max="12887" width="8.7109375" customWidth="1"/>
    <col min="12888" max="12892" width="14.42578125" bestFit="1" customWidth="1"/>
    <col min="12893" max="12893" width="8.7109375" customWidth="1"/>
    <col min="12894" max="12898" width="14.42578125" bestFit="1" customWidth="1"/>
    <col min="12899" max="12899" width="8.7109375" customWidth="1"/>
    <col min="12900" max="12904" width="14.42578125" bestFit="1" customWidth="1"/>
    <col min="12905" max="12905" width="8.7109375" customWidth="1"/>
    <col min="12906" max="12910" width="14.42578125" bestFit="1" customWidth="1"/>
    <col min="12911" max="12911" width="4.5703125" customWidth="1"/>
    <col min="13080" max="13080" width="3.5703125" customWidth="1"/>
    <col min="13081" max="13081" width="36.42578125" customWidth="1"/>
    <col min="13082" max="13087" width="16.28515625" customWidth="1"/>
    <col min="13088" max="13088" width="8.7109375" customWidth="1"/>
    <col min="13089" max="13095" width="16.28515625" customWidth="1"/>
    <col min="13096" max="13096" width="8.7109375" customWidth="1"/>
    <col min="13097" max="13106" width="16.28515625" customWidth="1"/>
    <col min="13107" max="13107" width="8.7109375" customWidth="1"/>
    <col min="13108" max="13112" width="16.28515625" customWidth="1"/>
    <col min="13113" max="13113" width="8.7109375" customWidth="1"/>
    <col min="13114" max="13118" width="16.28515625" customWidth="1"/>
    <col min="13119" max="13119" width="8.7109375" customWidth="1"/>
    <col min="13120" max="13124" width="16.28515625" customWidth="1"/>
    <col min="13125" max="13125" width="8.7109375" customWidth="1"/>
    <col min="13126" max="13128" width="16.28515625" customWidth="1"/>
    <col min="13129" max="13130" width="16.42578125" customWidth="1"/>
    <col min="13131" max="13131" width="8.7109375" customWidth="1"/>
    <col min="13132" max="13135" width="16.42578125" customWidth="1"/>
    <col min="13136" max="13136" width="14.42578125" bestFit="1" customWidth="1"/>
    <col min="13137" max="13137" width="8.7109375" customWidth="1"/>
    <col min="13138" max="13142" width="14.42578125" bestFit="1" customWidth="1"/>
    <col min="13143" max="13143" width="8.7109375" customWidth="1"/>
    <col min="13144" max="13148" width="14.42578125" bestFit="1" customWidth="1"/>
    <col min="13149" max="13149" width="8.7109375" customWidth="1"/>
    <col min="13150" max="13154" width="14.42578125" bestFit="1" customWidth="1"/>
    <col min="13155" max="13155" width="8.7109375" customWidth="1"/>
    <col min="13156" max="13160" width="14.42578125" bestFit="1" customWidth="1"/>
    <col min="13161" max="13161" width="8.7109375" customWidth="1"/>
    <col min="13162" max="13166" width="14.42578125" bestFit="1" customWidth="1"/>
    <col min="13167" max="13167" width="4.5703125" customWidth="1"/>
    <col min="13336" max="13336" width="3.5703125" customWidth="1"/>
    <col min="13337" max="13337" width="36.42578125" customWidth="1"/>
    <col min="13338" max="13343" width="16.28515625" customWidth="1"/>
    <col min="13344" max="13344" width="8.7109375" customWidth="1"/>
    <col min="13345" max="13351" width="16.28515625" customWidth="1"/>
    <col min="13352" max="13352" width="8.7109375" customWidth="1"/>
    <col min="13353" max="13362" width="16.28515625" customWidth="1"/>
    <col min="13363" max="13363" width="8.7109375" customWidth="1"/>
    <col min="13364" max="13368" width="16.28515625" customWidth="1"/>
    <col min="13369" max="13369" width="8.7109375" customWidth="1"/>
    <col min="13370" max="13374" width="16.28515625" customWidth="1"/>
    <col min="13375" max="13375" width="8.7109375" customWidth="1"/>
    <col min="13376" max="13380" width="16.28515625" customWidth="1"/>
    <col min="13381" max="13381" width="8.7109375" customWidth="1"/>
    <col min="13382" max="13384" width="16.28515625" customWidth="1"/>
    <col min="13385" max="13386" width="16.42578125" customWidth="1"/>
    <col min="13387" max="13387" width="8.7109375" customWidth="1"/>
    <col min="13388" max="13391" width="16.42578125" customWidth="1"/>
    <col min="13392" max="13392" width="14.42578125" bestFit="1" customWidth="1"/>
    <col min="13393" max="13393" width="8.7109375" customWidth="1"/>
    <col min="13394" max="13398" width="14.42578125" bestFit="1" customWidth="1"/>
    <col min="13399" max="13399" width="8.7109375" customWidth="1"/>
    <col min="13400" max="13404" width="14.42578125" bestFit="1" customWidth="1"/>
    <col min="13405" max="13405" width="8.7109375" customWidth="1"/>
    <col min="13406" max="13410" width="14.42578125" bestFit="1" customWidth="1"/>
    <col min="13411" max="13411" width="8.7109375" customWidth="1"/>
    <col min="13412" max="13416" width="14.42578125" bestFit="1" customWidth="1"/>
    <col min="13417" max="13417" width="8.7109375" customWidth="1"/>
    <col min="13418" max="13422" width="14.42578125" bestFit="1" customWidth="1"/>
    <col min="13423" max="13423" width="4.5703125" customWidth="1"/>
    <col min="13592" max="13592" width="3.5703125" customWidth="1"/>
    <col min="13593" max="13593" width="36.42578125" customWidth="1"/>
    <col min="13594" max="13599" width="16.28515625" customWidth="1"/>
    <col min="13600" max="13600" width="8.7109375" customWidth="1"/>
    <col min="13601" max="13607" width="16.28515625" customWidth="1"/>
    <col min="13608" max="13608" width="8.7109375" customWidth="1"/>
    <col min="13609" max="13618" width="16.28515625" customWidth="1"/>
    <col min="13619" max="13619" width="8.7109375" customWidth="1"/>
    <col min="13620" max="13624" width="16.28515625" customWidth="1"/>
    <col min="13625" max="13625" width="8.7109375" customWidth="1"/>
    <col min="13626" max="13630" width="16.28515625" customWidth="1"/>
    <col min="13631" max="13631" width="8.7109375" customWidth="1"/>
    <col min="13632" max="13636" width="16.28515625" customWidth="1"/>
    <col min="13637" max="13637" width="8.7109375" customWidth="1"/>
    <col min="13638" max="13640" width="16.28515625" customWidth="1"/>
    <col min="13641" max="13642" width="16.42578125" customWidth="1"/>
    <col min="13643" max="13643" width="8.7109375" customWidth="1"/>
    <col min="13644" max="13647" width="16.42578125" customWidth="1"/>
    <col min="13648" max="13648" width="14.42578125" bestFit="1" customWidth="1"/>
    <col min="13649" max="13649" width="8.7109375" customWidth="1"/>
    <col min="13650" max="13654" width="14.42578125" bestFit="1" customWidth="1"/>
    <col min="13655" max="13655" width="8.7109375" customWidth="1"/>
    <col min="13656" max="13660" width="14.42578125" bestFit="1" customWidth="1"/>
    <col min="13661" max="13661" width="8.7109375" customWidth="1"/>
    <col min="13662" max="13666" width="14.42578125" bestFit="1" customWidth="1"/>
    <col min="13667" max="13667" width="8.7109375" customWidth="1"/>
    <col min="13668" max="13672" width="14.42578125" bestFit="1" customWidth="1"/>
    <col min="13673" max="13673" width="8.7109375" customWidth="1"/>
    <col min="13674" max="13678" width="14.42578125" bestFit="1" customWidth="1"/>
    <col min="13679" max="13679" width="4.5703125" customWidth="1"/>
    <col min="13848" max="13848" width="3.5703125" customWidth="1"/>
    <col min="13849" max="13849" width="36.42578125" customWidth="1"/>
    <col min="13850" max="13855" width="16.28515625" customWidth="1"/>
    <col min="13856" max="13856" width="8.7109375" customWidth="1"/>
    <col min="13857" max="13863" width="16.28515625" customWidth="1"/>
    <col min="13864" max="13864" width="8.7109375" customWidth="1"/>
    <col min="13865" max="13874" width="16.28515625" customWidth="1"/>
    <col min="13875" max="13875" width="8.7109375" customWidth="1"/>
    <col min="13876" max="13880" width="16.28515625" customWidth="1"/>
    <col min="13881" max="13881" width="8.7109375" customWidth="1"/>
    <col min="13882" max="13886" width="16.28515625" customWidth="1"/>
    <col min="13887" max="13887" width="8.7109375" customWidth="1"/>
    <col min="13888" max="13892" width="16.28515625" customWidth="1"/>
    <col min="13893" max="13893" width="8.7109375" customWidth="1"/>
    <col min="13894" max="13896" width="16.28515625" customWidth="1"/>
    <col min="13897" max="13898" width="16.42578125" customWidth="1"/>
    <col min="13899" max="13899" width="8.7109375" customWidth="1"/>
    <col min="13900" max="13903" width="16.42578125" customWidth="1"/>
    <col min="13904" max="13904" width="14.42578125" bestFit="1" customWidth="1"/>
    <col min="13905" max="13905" width="8.7109375" customWidth="1"/>
    <col min="13906" max="13910" width="14.42578125" bestFit="1" customWidth="1"/>
    <col min="13911" max="13911" width="8.7109375" customWidth="1"/>
    <col min="13912" max="13916" width="14.42578125" bestFit="1" customWidth="1"/>
    <col min="13917" max="13917" width="8.7109375" customWidth="1"/>
    <col min="13918" max="13922" width="14.42578125" bestFit="1" customWidth="1"/>
    <col min="13923" max="13923" width="8.7109375" customWidth="1"/>
    <col min="13924" max="13928" width="14.42578125" bestFit="1" customWidth="1"/>
    <col min="13929" max="13929" width="8.7109375" customWidth="1"/>
    <col min="13930" max="13934" width="14.42578125" bestFit="1" customWidth="1"/>
    <col min="13935" max="13935" width="4.5703125" customWidth="1"/>
    <col min="14104" max="14104" width="3.5703125" customWidth="1"/>
    <col min="14105" max="14105" width="36.42578125" customWidth="1"/>
    <col min="14106" max="14111" width="16.28515625" customWidth="1"/>
    <col min="14112" max="14112" width="8.7109375" customWidth="1"/>
    <col min="14113" max="14119" width="16.28515625" customWidth="1"/>
    <col min="14120" max="14120" width="8.7109375" customWidth="1"/>
    <col min="14121" max="14130" width="16.28515625" customWidth="1"/>
    <col min="14131" max="14131" width="8.7109375" customWidth="1"/>
    <col min="14132" max="14136" width="16.28515625" customWidth="1"/>
    <col min="14137" max="14137" width="8.7109375" customWidth="1"/>
    <col min="14138" max="14142" width="16.28515625" customWidth="1"/>
    <col min="14143" max="14143" width="8.7109375" customWidth="1"/>
    <col min="14144" max="14148" width="16.28515625" customWidth="1"/>
    <col min="14149" max="14149" width="8.7109375" customWidth="1"/>
    <col min="14150" max="14152" width="16.28515625" customWidth="1"/>
    <col min="14153" max="14154" width="16.42578125" customWidth="1"/>
    <col min="14155" max="14155" width="8.7109375" customWidth="1"/>
    <col min="14156" max="14159" width="16.42578125" customWidth="1"/>
    <col min="14160" max="14160" width="14.42578125" bestFit="1" customWidth="1"/>
    <col min="14161" max="14161" width="8.7109375" customWidth="1"/>
    <col min="14162" max="14166" width="14.42578125" bestFit="1" customWidth="1"/>
    <col min="14167" max="14167" width="8.7109375" customWidth="1"/>
    <col min="14168" max="14172" width="14.42578125" bestFit="1" customWidth="1"/>
    <col min="14173" max="14173" width="8.7109375" customWidth="1"/>
    <col min="14174" max="14178" width="14.42578125" bestFit="1" customWidth="1"/>
    <col min="14179" max="14179" width="8.7109375" customWidth="1"/>
    <col min="14180" max="14184" width="14.42578125" bestFit="1" customWidth="1"/>
    <col min="14185" max="14185" width="8.7109375" customWidth="1"/>
    <col min="14186" max="14190" width="14.42578125" bestFit="1" customWidth="1"/>
    <col min="14191" max="14191" width="4.5703125" customWidth="1"/>
    <col min="14360" max="14360" width="3.5703125" customWidth="1"/>
    <col min="14361" max="14361" width="36.42578125" customWidth="1"/>
    <col min="14362" max="14367" width="16.28515625" customWidth="1"/>
    <col min="14368" max="14368" width="8.7109375" customWidth="1"/>
    <col min="14369" max="14375" width="16.28515625" customWidth="1"/>
    <col min="14376" max="14376" width="8.7109375" customWidth="1"/>
    <col min="14377" max="14386" width="16.28515625" customWidth="1"/>
    <col min="14387" max="14387" width="8.7109375" customWidth="1"/>
    <col min="14388" max="14392" width="16.28515625" customWidth="1"/>
    <col min="14393" max="14393" width="8.7109375" customWidth="1"/>
    <col min="14394" max="14398" width="16.28515625" customWidth="1"/>
    <col min="14399" max="14399" width="8.7109375" customWidth="1"/>
    <col min="14400" max="14404" width="16.28515625" customWidth="1"/>
    <col min="14405" max="14405" width="8.7109375" customWidth="1"/>
    <col min="14406" max="14408" width="16.28515625" customWidth="1"/>
    <col min="14409" max="14410" width="16.42578125" customWidth="1"/>
    <col min="14411" max="14411" width="8.7109375" customWidth="1"/>
    <col min="14412" max="14415" width="16.42578125" customWidth="1"/>
    <col min="14416" max="14416" width="14.42578125" bestFit="1" customWidth="1"/>
    <col min="14417" max="14417" width="8.7109375" customWidth="1"/>
    <col min="14418" max="14422" width="14.42578125" bestFit="1" customWidth="1"/>
    <col min="14423" max="14423" width="8.7109375" customWidth="1"/>
    <col min="14424" max="14428" width="14.42578125" bestFit="1" customWidth="1"/>
    <col min="14429" max="14429" width="8.7109375" customWidth="1"/>
    <col min="14430" max="14434" width="14.42578125" bestFit="1" customWidth="1"/>
    <col min="14435" max="14435" width="8.7109375" customWidth="1"/>
    <col min="14436" max="14440" width="14.42578125" bestFit="1" customWidth="1"/>
    <col min="14441" max="14441" width="8.7109375" customWidth="1"/>
    <col min="14442" max="14446" width="14.42578125" bestFit="1" customWidth="1"/>
    <col min="14447" max="14447" width="4.5703125" customWidth="1"/>
    <col min="14616" max="14616" width="3.5703125" customWidth="1"/>
    <col min="14617" max="14617" width="36.42578125" customWidth="1"/>
    <col min="14618" max="14623" width="16.28515625" customWidth="1"/>
    <col min="14624" max="14624" width="8.7109375" customWidth="1"/>
    <col min="14625" max="14631" width="16.28515625" customWidth="1"/>
    <col min="14632" max="14632" width="8.7109375" customWidth="1"/>
    <col min="14633" max="14642" width="16.28515625" customWidth="1"/>
    <col min="14643" max="14643" width="8.7109375" customWidth="1"/>
    <col min="14644" max="14648" width="16.28515625" customWidth="1"/>
    <col min="14649" max="14649" width="8.7109375" customWidth="1"/>
    <col min="14650" max="14654" width="16.28515625" customWidth="1"/>
    <col min="14655" max="14655" width="8.7109375" customWidth="1"/>
    <col min="14656" max="14660" width="16.28515625" customWidth="1"/>
    <col min="14661" max="14661" width="8.7109375" customWidth="1"/>
    <col min="14662" max="14664" width="16.28515625" customWidth="1"/>
    <col min="14665" max="14666" width="16.42578125" customWidth="1"/>
    <col min="14667" max="14667" width="8.7109375" customWidth="1"/>
    <col min="14668" max="14671" width="16.42578125" customWidth="1"/>
    <col min="14672" max="14672" width="14.42578125" bestFit="1" customWidth="1"/>
    <col min="14673" max="14673" width="8.7109375" customWidth="1"/>
    <col min="14674" max="14678" width="14.42578125" bestFit="1" customWidth="1"/>
    <col min="14679" max="14679" width="8.7109375" customWidth="1"/>
    <col min="14680" max="14684" width="14.42578125" bestFit="1" customWidth="1"/>
    <col min="14685" max="14685" width="8.7109375" customWidth="1"/>
    <col min="14686" max="14690" width="14.42578125" bestFit="1" customWidth="1"/>
    <col min="14691" max="14691" width="8.7109375" customWidth="1"/>
    <col min="14692" max="14696" width="14.42578125" bestFit="1" customWidth="1"/>
    <col min="14697" max="14697" width="8.7109375" customWidth="1"/>
    <col min="14698" max="14702" width="14.42578125" bestFit="1" customWidth="1"/>
    <col min="14703" max="14703" width="4.5703125" customWidth="1"/>
    <col min="14872" max="14872" width="3.5703125" customWidth="1"/>
    <col min="14873" max="14873" width="36.42578125" customWidth="1"/>
    <col min="14874" max="14879" width="16.28515625" customWidth="1"/>
    <col min="14880" max="14880" width="8.7109375" customWidth="1"/>
    <col min="14881" max="14887" width="16.28515625" customWidth="1"/>
    <col min="14888" max="14888" width="8.7109375" customWidth="1"/>
    <col min="14889" max="14898" width="16.28515625" customWidth="1"/>
    <col min="14899" max="14899" width="8.7109375" customWidth="1"/>
    <col min="14900" max="14904" width="16.28515625" customWidth="1"/>
    <col min="14905" max="14905" width="8.7109375" customWidth="1"/>
    <col min="14906" max="14910" width="16.28515625" customWidth="1"/>
    <col min="14911" max="14911" width="8.7109375" customWidth="1"/>
    <col min="14912" max="14916" width="16.28515625" customWidth="1"/>
    <col min="14917" max="14917" width="8.7109375" customWidth="1"/>
    <col min="14918" max="14920" width="16.28515625" customWidth="1"/>
    <col min="14921" max="14922" width="16.42578125" customWidth="1"/>
    <col min="14923" max="14923" width="8.7109375" customWidth="1"/>
    <col min="14924" max="14927" width="16.42578125" customWidth="1"/>
    <col min="14928" max="14928" width="14.42578125" bestFit="1" customWidth="1"/>
    <col min="14929" max="14929" width="8.7109375" customWidth="1"/>
    <col min="14930" max="14934" width="14.42578125" bestFit="1" customWidth="1"/>
    <col min="14935" max="14935" width="8.7109375" customWidth="1"/>
    <col min="14936" max="14940" width="14.42578125" bestFit="1" customWidth="1"/>
    <col min="14941" max="14941" width="8.7109375" customWidth="1"/>
    <col min="14942" max="14946" width="14.42578125" bestFit="1" customWidth="1"/>
    <col min="14947" max="14947" width="8.7109375" customWidth="1"/>
    <col min="14948" max="14952" width="14.42578125" bestFit="1" customWidth="1"/>
    <col min="14953" max="14953" width="8.7109375" customWidth="1"/>
    <col min="14954" max="14958" width="14.42578125" bestFit="1" customWidth="1"/>
    <col min="14959" max="14959" width="4.5703125" customWidth="1"/>
    <col min="15128" max="15128" width="3.5703125" customWidth="1"/>
    <col min="15129" max="15129" width="36.42578125" customWidth="1"/>
    <col min="15130" max="15135" width="16.28515625" customWidth="1"/>
    <col min="15136" max="15136" width="8.7109375" customWidth="1"/>
    <col min="15137" max="15143" width="16.28515625" customWidth="1"/>
    <col min="15144" max="15144" width="8.7109375" customWidth="1"/>
    <col min="15145" max="15154" width="16.28515625" customWidth="1"/>
    <col min="15155" max="15155" width="8.7109375" customWidth="1"/>
    <col min="15156" max="15160" width="16.28515625" customWidth="1"/>
    <col min="15161" max="15161" width="8.7109375" customWidth="1"/>
    <col min="15162" max="15166" width="16.28515625" customWidth="1"/>
    <col min="15167" max="15167" width="8.7109375" customWidth="1"/>
    <col min="15168" max="15172" width="16.28515625" customWidth="1"/>
    <col min="15173" max="15173" width="8.7109375" customWidth="1"/>
    <col min="15174" max="15176" width="16.28515625" customWidth="1"/>
    <col min="15177" max="15178" width="16.42578125" customWidth="1"/>
    <col min="15179" max="15179" width="8.7109375" customWidth="1"/>
    <col min="15180" max="15183" width="16.42578125" customWidth="1"/>
    <col min="15184" max="15184" width="14.42578125" bestFit="1" customWidth="1"/>
    <col min="15185" max="15185" width="8.7109375" customWidth="1"/>
    <col min="15186" max="15190" width="14.42578125" bestFit="1" customWidth="1"/>
    <col min="15191" max="15191" width="8.7109375" customWidth="1"/>
    <col min="15192" max="15196" width="14.42578125" bestFit="1" customWidth="1"/>
    <col min="15197" max="15197" width="8.7109375" customWidth="1"/>
    <col min="15198" max="15202" width="14.42578125" bestFit="1" customWidth="1"/>
    <col min="15203" max="15203" width="8.7109375" customWidth="1"/>
    <col min="15204" max="15208" width="14.42578125" bestFit="1" customWidth="1"/>
    <col min="15209" max="15209" width="8.7109375" customWidth="1"/>
    <col min="15210" max="15214" width="14.42578125" bestFit="1" customWidth="1"/>
    <col min="15215" max="15215" width="4.5703125" customWidth="1"/>
    <col min="15384" max="15384" width="3.5703125" customWidth="1"/>
    <col min="15385" max="15385" width="36.42578125" customWidth="1"/>
    <col min="15386" max="15391" width="16.28515625" customWidth="1"/>
    <col min="15392" max="15392" width="8.7109375" customWidth="1"/>
    <col min="15393" max="15399" width="16.28515625" customWidth="1"/>
    <col min="15400" max="15400" width="8.7109375" customWidth="1"/>
    <col min="15401" max="15410" width="16.28515625" customWidth="1"/>
    <col min="15411" max="15411" width="8.7109375" customWidth="1"/>
    <col min="15412" max="15416" width="16.28515625" customWidth="1"/>
    <col min="15417" max="15417" width="8.7109375" customWidth="1"/>
    <col min="15418" max="15422" width="16.28515625" customWidth="1"/>
    <col min="15423" max="15423" width="8.7109375" customWidth="1"/>
    <col min="15424" max="15428" width="16.28515625" customWidth="1"/>
    <col min="15429" max="15429" width="8.7109375" customWidth="1"/>
    <col min="15430" max="15432" width="16.28515625" customWidth="1"/>
    <col min="15433" max="15434" width="16.42578125" customWidth="1"/>
    <col min="15435" max="15435" width="8.7109375" customWidth="1"/>
    <col min="15436" max="15439" width="16.42578125" customWidth="1"/>
    <col min="15440" max="15440" width="14.42578125" bestFit="1" customWidth="1"/>
    <col min="15441" max="15441" width="8.7109375" customWidth="1"/>
    <col min="15442" max="15446" width="14.42578125" bestFit="1" customWidth="1"/>
    <col min="15447" max="15447" width="8.7109375" customWidth="1"/>
    <col min="15448" max="15452" width="14.42578125" bestFit="1" customWidth="1"/>
    <col min="15453" max="15453" width="8.7109375" customWidth="1"/>
    <col min="15454" max="15458" width="14.42578125" bestFit="1" customWidth="1"/>
    <col min="15459" max="15459" width="8.7109375" customWidth="1"/>
    <col min="15460" max="15464" width="14.42578125" bestFit="1" customWidth="1"/>
    <col min="15465" max="15465" width="8.7109375" customWidth="1"/>
    <col min="15466" max="15470" width="14.42578125" bestFit="1" customWidth="1"/>
    <col min="15471" max="15471" width="4.5703125" customWidth="1"/>
    <col min="15640" max="15640" width="3.5703125" customWidth="1"/>
    <col min="15641" max="15641" width="36.42578125" customWidth="1"/>
    <col min="15642" max="15647" width="16.28515625" customWidth="1"/>
    <col min="15648" max="15648" width="8.7109375" customWidth="1"/>
    <col min="15649" max="15655" width="16.28515625" customWidth="1"/>
    <col min="15656" max="15656" width="8.7109375" customWidth="1"/>
    <col min="15657" max="15666" width="16.28515625" customWidth="1"/>
    <col min="15667" max="15667" width="8.7109375" customWidth="1"/>
    <col min="15668" max="15672" width="16.28515625" customWidth="1"/>
    <col min="15673" max="15673" width="8.7109375" customWidth="1"/>
    <col min="15674" max="15678" width="16.28515625" customWidth="1"/>
    <col min="15679" max="15679" width="8.7109375" customWidth="1"/>
    <col min="15680" max="15684" width="16.28515625" customWidth="1"/>
    <col min="15685" max="15685" width="8.7109375" customWidth="1"/>
    <col min="15686" max="15688" width="16.28515625" customWidth="1"/>
    <col min="15689" max="15690" width="16.42578125" customWidth="1"/>
    <col min="15691" max="15691" width="8.7109375" customWidth="1"/>
    <col min="15692" max="15695" width="16.42578125" customWidth="1"/>
    <col min="15696" max="15696" width="14.42578125" bestFit="1" customWidth="1"/>
    <col min="15697" max="15697" width="8.7109375" customWidth="1"/>
    <col min="15698" max="15702" width="14.42578125" bestFit="1" customWidth="1"/>
    <col min="15703" max="15703" width="8.7109375" customWidth="1"/>
    <col min="15704" max="15708" width="14.42578125" bestFit="1" customWidth="1"/>
    <col min="15709" max="15709" width="8.7109375" customWidth="1"/>
    <col min="15710" max="15714" width="14.42578125" bestFit="1" customWidth="1"/>
    <col min="15715" max="15715" width="8.7109375" customWidth="1"/>
    <col min="15716" max="15720" width="14.42578125" bestFit="1" customWidth="1"/>
    <col min="15721" max="15721" width="8.7109375" customWidth="1"/>
    <col min="15722" max="15726" width="14.42578125" bestFit="1" customWidth="1"/>
    <col min="15727" max="15727" width="4.5703125" customWidth="1"/>
    <col min="15896" max="15896" width="3.5703125" customWidth="1"/>
    <col min="15897" max="15897" width="36.42578125" customWidth="1"/>
    <col min="15898" max="15903" width="16.28515625" customWidth="1"/>
    <col min="15904" max="15904" width="8.7109375" customWidth="1"/>
    <col min="15905" max="15911" width="16.28515625" customWidth="1"/>
    <col min="15912" max="15912" width="8.7109375" customWidth="1"/>
    <col min="15913" max="15922" width="16.28515625" customWidth="1"/>
    <col min="15923" max="15923" width="8.7109375" customWidth="1"/>
    <col min="15924" max="15928" width="16.28515625" customWidth="1"/>
    <col min="15929" max="15929" width="8.7109375" customWidth="1"/>
    <col min="15930" max="15934" width="16.28515625" customWidth="1"/>
    <col min="15935" max="15935" width="8.7109375" customWidth="1"/>
    <col min="15936" max="15940" width="16.28515625" customWidth="1"/>
    <col min="15941" max="15941" width="8.7109375" customWidth="1"/>
    <col min="15942" max="15944" width="16.28515625" customWidth="1"/>
    <col min="15945" max="15946" width="16.42578125" customWidth="1"/>
    <col min="15947" max="15947" width="8.7109375" customWidth="1"/>
    <col min="15948" max="15951" width="16.42578125" customWidth="1"/>
    <col min="15952" max="15952" width="14.42578125" bestFit="1" customWidth="1"/>
    <col min="15953" max="15953" width="8.7109375" customWidth="1"/>
    <col min="15954" max="15958" width="14.42578125" bestFit="1" customWidth="1"/>
    <col min="15959" max="15959" width="8.7109375" customWidth="1"/>
    <col min="15960" max="15964" width="14.42578125" bestFit="1" customWidth="1"/>
    <col min="15965" max="15965" width="8.7109375" customWidth="1"/>
    <col min="15966" max="15970" width="14.42578125" bestFit="1" customWidth="1"/>
    <col min="15971" max="15971" width="8.7109375" customWidth="1"/>
    <col min="15972" max="15976" width="14.42578125" bestFit="1" customWidth="1"/>
    <col min="15977" max="15977" width="8.7109375" customWidth="1"/>
    <col min="15978" max="15982" width="14.42578125" bestFit="1" customWidth="1"/>
    <col min="15983" max="15983" width="4.5703125" customWidth="1"/>
    <col min="16152" max="16152" width="3.5703125" customWidth="1"/>
    <col min="16153" max="16153" width="36.42578125" customWidth="1"/>
    <col min="16154" max="16159" width="16.28515625" customWidth="1"/>
    <col min="16160" max="16160" width="8.7109375" customWidth="1"/>
    <col min="16161" max="16167" width="16.28515625" customWidth="1"/>
    <col min="16168" max="16168" width="8.7109375" customWidth="1"/>
    <col min="16169" max="16178" width="16.28515625" customWidth="1"/>
    <col min="16179" max="16179" width="8.7109375" customWidth="1"/>
    <col min="16180" max="16184" width="16.28515625" customWidth="1"/>
    <col min="16185" max="16185" width="8.7109375" customWidth="1"/>
    <col min="16186" max="16190" width="16.28515625" customWidth="1"/>
    <col min="16191" max="16191" width="8.7109375" customWidth="1"/>
    <col min="16192" max="16196" width="16.28515625" customWidth="1"/>
    <col min="16197" max="16197" width="8.7109375" customWidth="1"/>
    <col min="16198" max="16200" width="16.28515625" customWidth="1"/>
    <col min="16201" max="16202" width="16.42578125" customWidth="1"/>
    <col min="16203" max="16203" width="8.7109375" customWidth="1"/>
    <col min="16204" max="16207" width="16.42578125" customWidth="1"/>
    <col min="16208" max="16208" width="14.42578125" bestFit="1" customWidth="1"/>
    <col min="16209" max="16209" width="8.7109375" customWidth="1"/>
    <col min="16210" max="16214" width="14.42578125" bestFit="1" customWidth="1"/>
    <col min="16215" max="16215" width="8.7109375" customWidth="1"/>
    <col min="16216" max="16220" width="14.42578125" bestFit="1" customWidth="1"/>
    <col min="16221" max="16221" width="8.7109375" customWidth="1"/>
    <col min="16222" max="16226" width="14.42578125" bestFit="1" customWidth="1"/>
    <col min="16227" max="16227" width="8.7109375" customWidth="1"/>
    <col min="16228" max="16232" width="14.42578125" bestFit="1" customWidth="1"/>
    <col min="16233" max="16233" width="8.7109375" customWidth="1"/>
    <col min="16234" max="16238" width="14.42578125" bestFit="1" customWidth="1"/>
    <col min="16239" max="16239" width="4.5703125" customWidth="1"/>
  </cols>
  <sheetData>
    <row r="1" spans="2:116" ht="26.25" x14ac:dyDescent="0.4">
      <c r="B1" s="2" t="s">
        <v>191</v>
      </c>
      <c r="C1" s="2"/>
      <c r="D1" s="2"/>
      <c r="E1" s="2"/>
      <c r="F1" s="2"/>
      <c r="G1" s="2"/>
      <c r="H1" s="373"/>
      <c r="I1" s="373"/>
      <c r="J1" s="373"/>
      <c r="K1" s="373"/>
      <c r="L1" s="373"/>
      <c r="M1" s="373"/>
      <c r="N1" s="373"/>
      <c r="O1" s="373"/>
      <c r="P1" s="373"/>
      <c r="Q1" s="373"/>
      <c r="R1" s="373"/>
      <c r="S1" s="2"/>
      <c r="T1" s="373"/>
      <c r="U1" s="214"/>
      <c r="V1" s="313"/>
      <c r="W1" s="332"/>
      <c r="X1" s="332"/>
      <c r="Y1" s="332"/>
      <c r="Z1" s="332"/>
      <c r="AA1" s="333"/>
      <c r="AB1" s="332"/>
      <c r="AC1" s="332"/>
      <c r="AD1" s="332"/>
      <c r="AE1" s="332"/>
      <c r="AF1" s="332"/>
      <c r="AG1" s="214"/>
      <c r="AH1" s="313"/>
      <c r="AI1" s="332"/>
      <c r="AJ1" s="332"/>
      <c r="AK1" s="332"/>
      <c r="AL1" s="332"/>
      <c r="AM1" s="80"/>
      <c r="AN1" s="80"/>
      <c r="AO1" s="80"/>
      <c r="AP1" s="80"/>
      <c r="AQ1" s="80"/>
      <c r="AR1" s="80"/>
      <c r="AS1" s="80"/>
      <c r="AT1" s="80"/>
      <c r="AU1" s="80"/>
      <c r="AV1" s="80"/>
      <c r="AW1" s="80"/>
      <c r="AX1" s="80"/>
      <c r="AY1" s="214"/>
      <c r="AZ1" s="2"/>
      <c r="BA1" s="2"/>
      <c r="BB1" s="2"/>
      <c r="BC1" s="3"/>
      <c r="BD1" s="3"/>
      <c r="BE1" s="215"/>
      <c r="BF1" s="3"/>
      <c r="BG1" s="3"/>
      <c r="BH1" s="3"/>
      <c r="BI1" s="3"/>
      <c r="BJ1" s="3"/>
      <c r="BK1" s="216"/>
      <c r="BL1" s="80"/>
      <c r="BM1" s="80"/>
      <c r="BN1" s="80"/>
      <c r="BO1" s="80"/>
      <c r="BP1" s="80"/>
      <c r="BQ1" s="217"/>
      <c r="BR1" s="80"/>
      <c r="BS1" s="80"/>
      <c r="BT1" s="80"/>
      <c r="BU1" s="80"/>
      <c r="BV1" s="80"/>
      <c r="BW1" s="217"/>
      <c r="BX1" s="80"/>
      <c r="BY1" s="80"/>
      <c r="BZ1" s="80"/>
      <c r="CA1" s="80"/>
      <c r="CB1" s="80"/>
      <c r="CC1" s="217"/>
      <c r="CD1" s="80"/>
      <c r="CE1" s="80"/>
      <c r="CF1" s="80"/>
      <c r="CG1" s="80"/>
      <c r="CH1" s="80"/>
      <c r="CI1" s="217"/>
      <c r="CJ1" s="80"/>
      <c r="CK1" s="80"/>
      <c r="CL1" s="80"/>
      <c r="CM1" s="80"/>
      <c r="CN1" s="80"/>
      <c r="CO1" s="217"/>
      <c r="CP1" s="80"/>
      <c r="CQ1" s="80"/>
      <c r="CR1" s="80"/>
      <c r="CS1" s="80"/>
      <c r="CT1" s="80"/>
      <c r="CU1" s="217"/>
      <c r="CV1" s="80"/>
      <c r="CW1" s="80"/>
      <c r="CX1" s="80"/>
      <c r="CY1" s="80"/>
      <c r="CZ1" s="80"/>
      <c r="DA1" s="217"/>
      <c r="DB1" s="80"/>
      <c r="DC1" s="80"/>
      <c r="DD1" s="80"/>
      <c r="DE1" s="80"/>
      <c r="DF1" s="80"/>
      <c r="DG1" s="216"/>
    </row>
    <row r="2" spans="2:116" x14ac:dyDescent="0.2">
      <c r="B2" s="5"/>
      <c r="C2" s="5"/>
      <c r="D2" s="5"/>
      <c r="E2" s="5"/>
      <c r="F2" s="5"/>
      <c r="G2" s="5"/>
      <c r="H2" s="374"/>
      <c r="I2" s="374"/>
      <c r="J2" s="374"/>
      <c r="K2" s="374"/>
      <c r="L2" s="374"/>
      <c r="M2" s="374"/>
      <c r="N2" s="374"/>
      <c r="O2" s="374"/>
      <c r="P2" s="374"/>
      <c r="Q2" s="374"/>
      <c r="R2" s="374"/>
      <c r="S2" s="5"/>
      <c r="T2" s="374"/>
      <c r="U2" s="218"/>
      <c r="V2" s="334"/>
      <c r="W2" s="302"/>
      <c r="X2" s="302"/>
      <c r="Y2" s="302"/>
      <c r="Z2" s="302"/>
      <c r="AA2" s="335"/>
      <c r="AB2" s="302"/>
      <c r="AC2" s="302"/>
      <c r="AD2" s="302"/>
      <c r="AE2" s="302"/>
      <c r="AF2" s="302"/>
      <c r="AG2" s="218"/>
      <c r="AH2" s="334"/>
      <c r="AI2" s="302"/>
      <c r="AJ2" s="302"/>
      <c r="AK2" s="302"/>
      <c r="AL2" s="302"/>
      <c r="AM2" s="81"/>
      <c r="AN2" s="81"/>
      <c r="AO2" s="81"/>
      <c r="AP2" s="81"/>
      <c r="AQ2" s="81"/>
      <c r="AR2" s="81"/>
      <c r="AS2" s="81"/>
      <c r="AT2" s="81"/>
      <c r="AU2" s="81"/>
      <c r="AV2" s="81"/>
      <c r="AW2" s="81"/>
      <c r="AX2" s="81"/>
      <c r="AY2" s="218"/>
      <c r="AZ2" s="5"/>
      <c r="BA2" s="5"/>
      <c r="BB2" s="5"/>
    </row>
    <row r="3" spans="2:116" x14ac:dyDescent="0.2">
      <c r="B3" s="221"/>
      <c r="C3" s="221"/>
      <c r="D3" s="221"/>
      <c r="E3" s="221"/>
      <c r="F3" s="221"/>
      <c r="G3" s="221"/>
      <c r="H3" s="221"/>
      <c r="I3" s="221"/>
      <c r="J3" s="221"/>
      <c r="K3" s="221"/>
      <c r="L3" s="221"/>
      <c r="M3" s="221"/>
      <c r="N3" s="221"/>
      <c r="O3" s="221"/>
      <c r="P3" s="221"/>
      <c r="Q3" s="221"/>
      <c r="R3" s="221"/>
      <c r="S3" s="221"/>
      <c r="T3" s="221"/>
      <c r="U3" s="223"/>
      <c r="V3" s="223"/>
      <c r="W3" s="336"/>
      <c r="X3" s="336"/>
      <c r="Y3" s="336"/>
      <c r="Z3" s="336"/>
      <c r="AA3" s="336"/>
      <c r="AB3" s="336"/>
      <c r="AC3" s="336"/>
      <c r="AD3" s="336"/>
      <c r="AE3" s="336"/>
      <c r="AF3" s="336"/>
      <c r="AG3" s="223"/>
      <c r="AH3" s="223"/>
      <c r="AI3" s="336"/>
      <c r="AJ3" s="336"/>
      <c r="AK3" s="336"/>
      <c r="AL3" s="336"/>
      <c r="AM3" s="222"/>
      <c r="AN3" s="222"/>
      <c r="AO3" s="222"/>
      <c r="AP3" s="222"/>
      <c r="AQ3" s="222"/>
      <c r="AR3" s="222"/>
      <c r="AS3" s="222"/>
      <c r="AT3" s="222"/>
      <c r="AU3" s="222"/>
      <c r="AV3" s="222"/>
      <c r="AW3" s="222"/>
      <c r="AX3" s="222"/>
      <c r="AY3" s="223"/>
      <c r="AZ3" s="221"/>
      <c r="BA3" s="221"/>
      <c r="BB3" s="221"/>
    </row>
    <row r="4" spans="2:116" ht="13.5" thickBot="1" x14ac:dyDescent="0.25"/>
    <row r="5" spans="2:116" s="225" customFormat="1" ht="33.75" customHeight="1" thickBot="1" x14ac:dyDescent="0.3">
      <c r="B5" s="198" t="s">
        <v>44</v>
      </c>
      <c r="C5" s="202" t="s">
        <v>378</v>
      </c>
      <c r="D5" s="202" t="s">
        <v>374</v>
      </c>
      <c r="E5" s="202" t="s">
        <v>373</v>
      </c>
      <c r="F5" s="202" t="s">
        <v>368</v>
      </c>
      <c r="G5" s="202" t="s">
        <v>369</v>
      </c>
      <c r="H5" s="232"/>
      <c r="I5" s="202" t="s">
        <v>362</v>
      </c>
      <c r="J5" s="202" t="s">
        <v>359</v>
      </c>
      <c r="K5" s="202" t="s">
        <v>358</v>
      </c>
      <c r="L5" s="202" t="s">
        <v>357</v>
      </c>
      <c r="M5" s="202" t="s">
        <v>352</v>
      </c>
      <c r="N5" s="232"/>
      <c r="O5" s="202" t="s">
        <v>346</v>
      </c>
      <c r="P5" s="202" t="s">
        <v>341</v>
      </c>
      <c r="Q5" s="202" t="s">
        <v>342</v>
      </c>
      <c r="R5" s="202" t="s">
        <v>335</v>
      </c>
      <c r="S5" s="202" t="s">
        <v>331</v>
      </c>
      <c r="T5" s="232"/>
      <c r="U5" s="202" t="s">
        <v>347</v>
      </c>
      <c r="V5" s="202" t="s">
        <v>314</v>
      </c>
      <c r="W5" s="202" t="s">
        <v>192</v>
      </c>
      <c r="X5" s="202" t="s">
        <v>193</v>
      </c>
      <c r="Y5" s="202" t="s">
        <v>194</v>
      </c>
      <c r="Z5" s="202" t="s">
        <v>195</v>
      </c>
      <c r="AA5" s="226"/>
      <c r="AB5" s="202" t="s">
        <v>196</v>
      </c>
      <c r="AC5" s="202" t="s">
        <v>312</v>
      </c>
      <c r="AD5" s="202" t="s">
        <v>198</v>
      </c>
      <c r="AE5" s="280" t="s">
        <v>294</v>
      </c>
      <c r="AF5" s="280" t="s">
        <v>293</v>
      </c>
      <c r="AG5" s="228"/>
      <c r="AH5" s="280" t="s">
        <v>288</v>
      </c>
      <c r="AI5" s="280" t="s">
        <v>289</v>
      </c>
      <c r="AJ5" s="280" t="s">
        <v>290</v>
      </c>
      <c r="AK5" s="280" t="s">
        <v>291</v>
      </c>
      <c r="AL5" s="280" t="s">
        <v>292</v>
      </c>
      <c r="AM5" s="279"/>
      <c r="AN5" s="202" t="s">
        <v>196</v>
      </c>
      <c r="AO5" s="202" t="s">
        <v>197</v>
      </c>
      <c r="AP5" s="202" t="s">
        <v>198</v>
      </c>
      <c r="AQ5" s="227" t="s">
        <v>199</v>
      </c>
      <c r="AR5" s="227" t="s">
        <v>200</v>
      </c>
      <c r="AS5" s="279"/>
      <c r="AT5" s="227" t="s">
        <v>201</v>
      </c>
      <c r="AU5" s="227" t="s">
        <v>202</v>
      </c>
      <c r="AV5" s="227" t="s">
        <v>203</v>
      </c>
      <c r="AW5" s="227" t="s">
        <v>204</v>
      </c>
      <c r="AX5" s="227" t="s">
        <v>205</v>
      </c>
      <c r="AY5" s="228"/>
      <c r="AZ5" s="227" t="s">
        <v>206</v>
      </c>
      <c r="BA5" s="227" t="s">
        <v>207</v>
      </c>
      <c r="BB5" s="227" t="s">
        <v>208</v>
      </c>
      <c r="BC5" s="227" t="s">
        <v>209</v>
      </c>
      <c r="BD5" s="227" t="s">
        <v>210</v>
      </c>
      <c r="BE5" s="220"/>
      <c r="BF5" s="227" t="s">
        <v>211</v>
      </c>
      <c r="BG5" s="227" t="s">
        <v>212</v>
      </c>
      <c r="BH5" s="227" t="s">
        <v>213</v>
      </c>
      <c r="BI5" s="227" t="s">
        <v>214</v>
      </c>
      <c r="BJ5" s="227" t="s">
        <v>215</v>
      </c>
      <c r="BK5" s="229"/>
      <c r="BL5" s="227" t="s">
        <v>216</v>
      </c>
      <c r="BM5" s="227" t="s">
        <v>217</v>
      </c>
      <c r="BN5" s="227" t="s">
        <v>218</v>
      </c>
      <c r="BO5" s="227" t="s">
        <v>219</v>
      </c>
      <c r="BP5" s="227" t="s">
        <v>220</v>
      </c>
      <c r="BQ5" s="229"/>
      <c r="BR5" s="227" t="s">
        <v>221</v>
      </c>
      <c r="BS5" s="227" t="s">
        <v>222</v>
      </c>
      <c r="BT5" s="227" t="s">
        <v>223</v>
      </c>
      <c r="BU5" s="227" t="s">
        <v>224</v>
      </c>
      <c r="BV5" s="227" t="s">
        <v>225</v>
      </c>
      <c r="BW5" s="229"/>
      <c r="BX5" s="227" t="s">
        <v>226</v>
      </c>
      <c r="BY5" s="227" t="s">
        <v>227</v>
      </c>
      <c r="BZ5" s="227" t="s">
        <v>228</v>
      </c>
      <c r="CA5" s="227" t="s">
        <v>229</v>
      </c>
      <c r="CB5" s="227" t="s">
        <v>230</v>
      </c>
      <c r="CC5" s="229"/>
      <c r="CD5" s="227" t="s">
        <v>231</v>
      </c>
      <c r="CE5" s="227" t="s">
        <v>232</v>
      </c>
      <c r="CF5" s="227" t="s">
        <v>233</v>
      </c>
      <c r="CG5" s="227" t="s">
        <v>234</v>
      </c>
      <c r="CH5" s="227" t="s">
        <v>235</v>
      </c>
      <c r="CI5" s="229"/>
      <c r="CJ5" s="227" t="s">
        <v>236</v>
      </c>
      <c r="CK5" s="227" t="s">
        <v>237</v>
      </c>
      <c r="CL5" s="227" t="s">
        <v>238</v>
      </c>
      <c r="CM5" s="227" t="s">
        <v>239</v>
      </c>
      <c r="CN5" s="227" t="s">
        <v>240</v>
      </c>
      <c r="CO5" s="229"/>
      <c r="CP5" s="227" t="s">
        <v>241</v>
      </c>
      <c r="CQ5" s="227" t="s">
        <v>242</v>
      </c>
      <c r="CR5" s="227" t="s">
        <v>243</v>
      </c>
      <c r="CS5" s="227" t="s">
        <v>244</v>
      </c>
      <c r="CT5" s="227" t="s">
        <v>245</v>
      </c>
      <c r="CU5" s="229"/>
      <c r="CV5" s="227" t="s">
        <v>246</v>
      </c>
      <c r="CW5" s="227" t="s">
        <v>247</v>
      </c>
      <c r="CX5" s="227" t="s">
        <v>248</v>
      </c>
      <c r="CY5" s="227" t="s">
        <v>249</v>
      </c>
      <c r="CZ5" s="227" t="s">
        <v>250</v>
      </c>
      <c r="DA5" s="229"/>
      <c r="DB5" s="227" t="s">
        <v>251</v>
      </c>
      <c r="DC5" s="227" t="s">
        <v>252</v>
      </c>
      <c r="DD5" s="227" t="s">
        <v>253</v>
      </c>
      <c r="DE5" s="227" t="s">
        <v>254</v>
      </c>
      <c r="DF5" s="227" t="s">
        <v>255</v>
      </c>
      <c r="DG5" s="230"/>
      <c r="DH5" s="231"/>
      <c r="DI5" s="231"/>
      <c r="DJ5" s="231"/>
    </row>
    <row r="6" spans="2:116" s="225" customFormat="1" ht="15.75" x14ac:dyDescent="0.25">
      <c r="B6" s="232"/>
      <c r="C6" s="462"/>
      <c r="D6" s="232"/>
      <c r="E6" s="232"/>
      <c r="F6" s="232"/>
      <c r="G6" s="232"/>
      <c r="H6" s="232"/>
      <c r="I6" s="232"/>
      <c r="J6" s="432"/>
      <c r="K6" s="432"/>
      <c r="L6" s="232"/>
      <c r="M6" s="232"/>
      <c r="N6" s="232"/>
      <c r="O6" s="232"/>
      <c r="P6" s="226"/>
      <c r="Q6" s="226"/>
      <c r="R6" s="232"/>
      <c r="S6" s="226"/>
      <c r="T6" s="232"/>
      <c r="U6" s="233"/>
      <c r="V6" s="233"/>
      <c r="W6" s="226"/>
      <c r="X6" s="226"/>
      <c r="Y6" s="226"/>
      <c r="Z6" s="226"/>
      <c r="AA6" s="226"/>
      <c r="AB6" s="233"/>
      <c r="AC6" s="233"/>
      <c r="AD6" s="233"/>
      <c r="AE6" s="233"/>
      <c r="AF6" s="233"/>
      <c r="AG6" s="228"/>
      <c r="AH6" s="228"/>
      <c r="AI6" s="233"/>
      <c r="AJ6" s="233"/>
      <c r="AK6" s="233"/>
      <c r="AL6" s="233"/>
      <c r="AM6" s="233"/>
      <c r="AN6" s="233"/>
      <c r="AO6" s="233"/>
      <c r="AP6" s="233"/>
      <c r="AQ6" s="233"/>
      <c r="AR6" s="233"/>
      <c r="AS6" s="233"/>
      <c r="AT6" s="233"/>
      <c r="AU6" s="233"/>
      <c r="AV6" s="233"/>
      <c r="AW6" s="233"/>
      <c r="AX6" s="233"/>
      <c r="AY6" s="228"/>
      <c r="AZ6" s="233"/>
      <c r="BA6" s="233"/>
      <c r="BB6" s="233"/>
      <c r="BC6" s="233"/>
      <c r="BD6" s="233"/>
      <c r="BE6" s="220"/>
      <c r="BF6" s="233"/>
      <c r="BG6" s="233"/>
      <c r="BH6" s="233"/>
      <c r="BI6" s="233"/>
      <c r="BJ6" s="233"/>
      <c r="BK6" s="229"/>
      <c r="BL6" s="233"/>
      <c r="BM6" s="233"/>
      <c r="BN6" s="233"/>
      <c r="BO6" s="233"/>
      <c r="BP6" s="233"/>
      <c r="BQ6" s="229"/>
      <c r="BR6" s="233"/>
      <c r="BS6" s="233"/>
      <c r="BT6" s="233"/>
      <c r="BU6" s="233"/>
      <c r="BV6" s="233"/>
      <c r="BW6" s="229"/>
      <c r="BX6" s="233"/>
      <c r="BY6" s="233"/>
      <c r="BZ6" s="233"/>
      <c r="CA6" s="233"/>
      <c r="CB6" s="233"/>
      <c r="CC6" s="229"/>
      <c r="CD6" s="233"/>
      <c r="CE6" s="233"/>
      <c r="CF6" s="233"/>
      <c r="CG6" s="233"/>
      <c r="CH6" s="233"/>
      <c r="CI6" s="229"/>
      <c r="CJ6" s="233"/>
      <c r="CK6" s="233"/>
      <c r="CL6" s="233"/>
      <c r="CM6" s="233"/>
      <c r="CN6" s="233"/>
      <c r="CO6" s="229"/>
      <c r="CP6" s="233"/>
      <c r="CQ6" s="233"/>
      <c r="CR6" s="233"/>
      <c r="CS6" s="233"/>
      <c r="CT6" s="233"/>
      <c r="CU6" s="229"/>
      <c r="CV6" s="233"/>
      <c r="CW6" s="233"/>
      <c r="CX6" s="233"/>
      <c r="CY6" s="233"/>
      <c r="CZ6" s="233"/>
      <c r="DA6" s="229"/>
      <c r="DB6" s="233"/>
      <c r="DC6" s="233"/>
      <c r="DD6" s="233"/>
      <c r="DE6" s="233"/>
      <c r="DF6" s="233"/>
      <c r="DG6" s="230"/>
      <c r="DH6" s="231"/>
      <c r="DI6" s="231"/>
      <c r="DJ6" s="231"/>
    </row>
    <row r="7" spans="2:116" s="213" customFormat="1" ht="18.75" customHeight="1" x14ac:dyDescent="0.2">
      <c r="B7" s="38" t="s">
        <v>12</v>
      </c>
      <c r="C7" s="465">
        <v>239.6</v>
      </c>
      <c r="D7" s="382">
        <v>785.1</v>
      </c>
      <c r="E7" s="382">
        <v>235</v>
      </c>
      <c r="F7" s="382">
        <v>263</v>
      </c>
      <c r="G7" s="300">
        <v>287.2</v>
      </c>
      <c r="H7" s="38"/>
      <c r="I7" s="382">
        <v>245.4</v>
      </c>
      <c r="J7" s="382">
        <v>831.3</v>
      </c>
      <c r="K7" s="382">
        <v>260.39999999999998</v>
      </c>
      <c r="L7" s="382">
        <v>288.3</v>
      </c>
      <c r="M7" s="300">
        <v>282.60000000000002</v>
      </c>
      <c r="N7" s="38"/>
      <c r="O7" s="300">
        <v>232.2</v>
      </c>
      <c r="P7" s="300">
        <v>737.4</v>
      </c>
      <c r="Q7" s="383">
        <v>226.6</v>
      </c>
      <c r="R7" s="382">
        <v>259.36002000000002</v>
      </c>
      <c r="S7" s="300">
        <v>251.4</v>
      </c>
      <c r="T7" s="38"/>
      <c r="U7" s="300">
        <v>225.6</v>
      </c>
      <c r="V7" s="300">
        <v>225.6</v>
      </c>
      <c r="W7" s="300">
        <v>554.70000000000005</v>
      </c>
      <c r="X7" s="300">
        <v>219.1</v>
      </c>
      <c r="Y7" s="300">
        <v>114.5</v>
      </c>
      <c r="Z7" s="300">
        <v>221.1</v>
      </c>
      <c r="AA7" s="300"/>
      <c r="AB7" s="300">
        <v>230.4</v>
      </c>
      <c r="AC7" s="300">
        <v>708.7</v>
      </c>
      <c r="AD7" s="300">
        <v>212.8</v>
      </c>
      <c r="AE7" s="300">
        <v>248.6</v>
      </c>
      <c r="AF7" s="300">
        <v>247.3</v>
      </c>
      <c r="AG7" s="236"/>
      <c r="AH7" s="300">
        <v>236.9</v>
      </c>
      <c r="AI7" s="300">
        <v>673.8</v>
      </c>
      <c r="AJ7" s="300">
        <v>208.1</v>
      </c>
      <c r="AK7" s="300">
        <v>226.6</v>
      </c>
      <c r="AL7" s="300">
        <v>239.1</v>
      </c>
      <c r="AM7" s="234"/>
      <c r="AN7" s="234">
        <v>230.4</v>
      </c>
      <c r="AO7" s="234">
        <f>AR7+AQ7+AP7</f>
        <v>734.3</v>
      </c>
      <c r="AP7" s="300">
        <v>212.8</v>
      </c>
      <c r="AQ7" s="177">
        <v>263.39999999999998</v>
      </c>
      <c r="AR7" s="235">
        <v>258.10000000000002</v>
      </c>
      <c r="AS7" s="234"/>
      <c r="AT7" s="234">
        <v>249.1</v>
      </c>
      <c r="AU7" s="234">
        <f>AX7+AW7+AV7</f>
        <v>713.7</v>
      </c>
      <c r="AV7" s="234">
        <v>221.5</v>
      </c>
      <c r="AW7" s="234">
        <v>241.3</v>
      </c>
      <c r="AX7" s="234">
        <v>250.9</v>
      </c>
      <c r="AY7" s="236"/>
      <c r="AZ7" s="237">
        <v>244.8</v>
      </c>
      <c r="BA7" s="237">
        <f>BB7+BC7+BD7</f>
        <v>790.6</v>
      </c>
      <c r="BB7" s="237">
        <v>243.4</v>
      </c>
      <c r="BC7" s="178">
        <v>312.60000000000002</v>
      </c>
      <c r="BD7" s="178">
        <v>234.6</v>
      </c>
      <c r="BE7" s="238"/>
      <c r="BF7" s="178">
        <v>313.87440000000004</v>
      </c>
      <c r="BG7" s="178">
        <f>BH7+BI7+BJ7</f>
        <v>939.1</v>
      </c>
      <c r="BH7" s="178">
        <v>288</v>
      </c>
      <c r="BI7" s="178">
        <v>349.5</v>
      </c>
      <c r="BJ7" s="178">
        <v>301.60000000000002</v>
      </c>
      <c r="BK7" s="239"/>
      <c r="BL7" s="178">
        <v>319.2</v>
      </c>
      <c r="BM7" s="178">
        <f>BN7+BO7+BP7</f>
        <v>959.7</v>
      </c>
      <c r="BN7" s="178">
        <v>284.8</v>
      </c>
      <c r="BO7" s="178">
        <v>350.6</v>
      </c>
      <c r="BP7" s="178">
        <v>324.3</v>
      </c>
      <c r="BQ7" s="240"/>
      <c r="BR7" s="178">
        <v>311.2</v>
      </c>
      <c r="BS7" s="178">
        <f>BT7+BU7+BV7</f>
        <v>867.5</v>
      </c>
      <c r="BT7" s="178">
        <v>261.2</v>
      </c>
      <c r="BU7" s="178">
        <v>313.10000000000002</v>
      </c>
      <c r="BV7" s="178">
        <v>293.2</v>
      </c>
      <c r="BW7" s="241"/>
      <c r="BX7" s="178">
        <v>279.7</v>
      </c>
      <c r="BY7" s="178">
        <f>BZ7+CA7+CB7</f>
        <v>841.8</v>
      </c>
      <c r="BZ7" s="178">
        <v>243.4</v>
      </c>
      <c r="CA7" s="178">
        <v>301.39999999999998</v>
      </c>
      <c r="CB7" s="178">
        <v>297</v>
      </c>
      <c r="CC7" s="241"/>
      <c r="CD7" s="178">
        <v>312.89999999999998</v>
      </c>
      <c r="CE7" s="178">
        <f>CF7+CG7+CH7</f>
        <v>862.40000000000009</v>
      </c>
      <c r="CF7" s="178">
        <v>249.1</v>
      </c>
      <c r="CG7" s="178">
        <v>324.60000000000002</v>
      </c>
      <c r="CH7" s="178">
        <v>288.7</v>
      </c>
      <c r="CI7" s="241"/>
      <c r="CJ7" s="178">
        <v>268.39999999999998</v>
      </c>
      <c r="CK7" s="178">
        <f>CL7+CM7+CN7</f>
        <v>833.49199999999996</v>
      </c>
      <c r="CL7" s="178">
        <v>230.2</v>
      </c>
      <c r="CM7" s="178">
        <v>302.59199999999998</v>
      </c>
      <c r="CN7" s="178">
        <v>300.7</v>
      </c>
      <c r="CO7" s="241"/>
      <c r="CP7" s="178">
        <v>261.8</v>
      </c>
      <c r="CQ7" s="178">
        <f>CR7+CS7+CT7</f>
        <v>818.21299999999997</v>
      </c>
      <c r="CR7" s="178">
        <v>237.857</v>
      </c>
      <c r="CS7" s="178">
        <v>294.35599999999999</v>
      </c>
      <c r="CT7" s="178">
        <v>286</v>
      </c>
      <c r="CU7" s="241"/>
      <c r="CV7" s="178">
        <v>236.536</v>
      </c>
      <c r="CW7" s="178">
        <f>CX7+CY7+CZ7</f>
        <v>774.69999999999993</v>
      </c>
      <c r="CX7" s="178">
        <v>212.6</v>
      </c>
      <c r="CY7" s="178">
        <v>274.2</v>
      </c>
      <c r="CZ7" s="178">
        <v>287.89999999999998</v>
      </c>
      <c r="DA7" s="241"/>
      <c r="DB7" s="178">
        <v>282.10000000000002</v>
      </c>
      <c r="DC7" s="178">
        <f>DD7+DE7+DF7</f>
        <v>865.76</v>
      </c>
      <c r="DD7" s="178">
        <v>228.8</v>
      </c>
      <c r="DE7" s="178">
        <v>310.94</v>
      </c>
      <c r="DF7" s="178">
        <v>326.02</v>
      </c>
      <c r="DG7" s="242"/>
    </row>
    <row r="8" spans="2:116" s="213" customFormat="1" ht="18.75" customHeight="1" x14ac:dyDescent="0.2">
      <c r="B8" s="39" t="s">
        <v>13</v>
      </c>
      <c r="C8" s="466">
        <v>134.80000000000001</v>
      </c>
      <c r="D8" s="301">
        <v>451</v>
      </c>
      <c r="E8" s="301">
        <v>132.4</v>
      </c>
      <c r="F8" s="301">
        <v>150.80000000000001</v>
      </c>
      <c r="G8" s="281">
        <v>167.8</v>
      </c>
      <c r="H8" s="40"/>
      <c r="I8" s="301">
        <v>139.1</v>
      </c>
      <c r="J8" s="301">
        <v>458.4</v>
      </c>
      <c r="K8" s="301">
        <v>140</v>
      </c>
      <c r="L8" s="301">
        <v>162.80000000000001</v>
      </c>
      <c r="M8" s="281">
        <v>155.5</v>
      </c>
      <c r="N8" s="40"/>
      <c r="O8" s="281">
        <v>120.9</v>
      </c>
      <c r="P8" s="281">
        <v>380.9</v>
      </c>
      <c r="Q8" s="383">
        <v>118.7</v>
      </c>
      <c r="R8" s="301">
        <v>135.62043</v>
      </c>
      <c r="S8" s="281">
        <v>126.6</v>
      </c>
      <c r="T8" s="40"/>
      <c r="U8" s="281">
        <v>101.3</v>
      </c>
      <c r="V8" s="281">
        <v>101.3</v>
      </c>
      <c r="W8" s="281">
        <v>261.2</v>
      </c>
      <c r="X8" s="281">
        <v>112.6</v>
      </c>
      <c r="Y8" s="281">
        <v>39.200000000000003</v>
      </c>
      <c r="Z8" s="281">
        <v>109.4</v>
      </c>
      <c r="AA8" s="284"/>
      <c r="AB8" s="281">
        <v>101.8</v>
      </c>
      <c r="AC8" s="281">
        <v>375.1</v>
      </c>
      <c r="AD8" s="301">
        <v>109</v>
      </c>
      <c r="AE8" s="281">
        <v>135.9</v>
      </c>
      <c r="AF8" s="281">
        <v>130.19999999999999</v>
      </c>
      <c r="AG8" s="244"/>
      <c r="AH8" s="281">
        <v>108.3</v>
      </c>
      <c r="AI8" s="281">
        <v>344.9</v>
      </c>
      <c r="AJ8" s="281">
        <v>105.1</v>
      </c>
      <c r="AK8" s="281">
        <v>118.5</v>
      </c>
      <c r="AL8" s="281">
        <v>121.3</v>
      </c>
      <c r="AM8" s="177"/>
      <c r="AN8" s="177">
        <v>101.8</v>
      </c>
      <c r="AO8" s="177">
        <f>AR8+AQ8+AP8</f>
        <v>385.6</v>
      </c>
      <c r="AP8" s="301">
        <v>109</v>
      </c>
      <c r="AQ8" s="177">
        <v>140.80000000000001</v>
      </c>
      <c r="AR8" s="177">
        <v>135.80000000000001</v>
      </c>
      <c r="AS8" s="177"/>
      <c r="AT8" s="177">
        <v>115</v>
      </c>
      <c r="AU8" s="177">
        <f>AX8+AW8+AV8</f>
        <v>366.5</v>
      </c>
      <c r="AV8" s="177">
        <v>112.4</v>
      </c>
      <c r="AW8" s="177">
        <v>126.6</v>
      </c>
      <c r="AX8" s="177">
        <v>127.5</v>
      </c>
      <c r="AY8" s="244"/>
      <c r="AZ8" s="177">
        <v>112</v>
      </c>
      <c r="BA8" s="177">
        <f>BB8+BC8+BD8</f>
        <v>407.6</v>
      </c>
      <c r="BB8" s="177">
        <v>120.4</v>
      </c>
      <c r="BC8" s="84">
        <v>170.4</v>
      </c>
      <c r="BD8" s="84">
        <v>116.8</v>
      </c>
      <c r="BE8" s="238"/>
      <c r="BF8" s="84">
        <v>151.66309999999999</v>
      </c>
      <c r="BG8" s="178">
        <f>BH8+BI8+BJ8</f>
        <v>564</v>
      </c>
      <c r="BH8" s="84">
        <v>169.4</v>
      </c>
      <c r="BI8" s="84">
        <v>210.4</v>
      </c>
      <c r="BJ8" s="84">
        <v>184.2</v>
      </c>
      <c r="BK8" s="239"/>
      <c r="BL8" s="84">
        <v>179.5</v>
      </c>
      <c r="BM8" s="178">
        <f>BN8+BO8+BP8</f>
        <v>577.5</v>
      </c>
      <c r="BN8" s="84">
        <v>167.5</v>
      </c>
      <c r="BO8" s="84">
        <v>213.4</v>
      </c>
      <c r="BP8" s="84">
        <v>196.6</v>
      </c>
      <c r="BQ8" s="240"/>
      <c r="BR8" s="84">
        <v>178</v>
      </c>
      <c r="BS8" s="178">
        <f>BT8+BU8+BV8</f>
        <v>540.6</v>
      </c>
      <c r="BT8" s="84">
        <v>157.1</v>
      </c>
      <c r="BU8" s="84">
        <v>199.5</v>
      </c>
      <c r="BV8" s="84">
        <v>184</v>
      </c>
      <c r="BW8" s="241"/>
      <c r="BX8" s="84">
        <v>166.8</v>
      </c>
      <c r="BY8" s="178">
        <f>BZ8+CA8+CB8</f>
        <v>516.90000000000009</v>
      </c>
      <c r="BZ8" s="84">
        <v>144.80000000000001</v>
      </c>
      <c r="CA8" s="84">
        <v>192.4</v>
      </c>
      <c r="CB8" s="84">
        <v>179.7</v>
      </c>
      <c r="CC8" s="241"/>
      <c r="CD8" s="84">
        <v>170.6</v>
      </c>
      <c r="CE8" s="84">
        <f>CF8+CG8+CH8</f>
        <v>509.09999999999997</v>
      </c>
      <c r="CF8" s="84">
        <v>143.80000000000001</v>
      </c>
      <c r="CG8" s="84">
        <v>191.1</v>
      </c>
      <c r="CH8" s="84">
        <v>174.2</v>
      </c>
      <c r="CI8" s="241"/>
      <c r="CJ8" s="84">
        <v>154.71700000000001</v>
      </c>
      <c r="CK8" s="84">
        <f>CL8+CM8+CN8</f>
        <v>497.565</v>
      </c>
      <c r="CL8" s="84">
        <v>133.30000000000001</v>
      </c>
      <c r="CM8" s="84">
        <v>181.26499999999999</v>
      </c>
      <c r="CN8" s="84">
        <v>183</v>
      </c>
      <c r="CO8" s="241"/>
      <c r="CP8" s="84">
        <v>147.19999999999999</v>
      </c>
      <c r="CQ8" s="84">
        <f>CR8+CS8+CT8</f>
        <v>482.71299999999997</v>
      </c>
      <c r="CR8" s="84">
        <v>136.21299999999999</v>
      </c>
      <c r="CS8" s="84">
        <v>172.9</v>
      </c>
      <c r="CT8" s="84">
        <v>173.6</v>
      </c>
      <c r="CU8" s="241"/>
      <c r="CV8" s="84">
        <v>126.08799999999999</v>
      </c>
      <c r="CW8" s="84">
        <f>CX8+CY8+CZ8</f>
        <v>446.4</v>
      </c>
      <c r="CX8" s="84">
        <v>115.2</v>
      </c>
      <c r="CY8" s="84">
        <v>156.6</v>
      </c>
      <c r="CZ8" s="84">
        <v>174.6</v>
      </c>
      <c r="DA8" s="241"/>
      <c r="DB8" s="84">
        <v>159.80000000000001</v>
      </c>
      <c r="DC8" s="84">
        <f>DD8+DE8+DF8</f>
        <v>503.1</v>
      </c>
      <c r="DD8" s="84">
        <v>130.1</v>
      </c>
      <c r="DE8" s="84">
        <v>180.1</v>
      </c>
      <c r="DF8" s="84">
        <v>192.9</v>
      </c>
      <c r="DG8" s="242"/>
    </row>
    <row r="9" spans="2:116" s="213" customFormat="1" ht="15.75" customHeight="1" x14ac:dyDescent="0.2">
      <c r="B9" s="379" t="s">
        <v>333</v>
      </c>
      <c r="C9" s="381">
        <v>0.56200000000000006</v>
      </c>
      <c r="D9" s="381">
        <v>0.57399999999999995</v>
      </c>
      <c r="E9" s="381">
        <v>0.56299999999999994</v>
      </c>
      <c r="F9" s="381">
        <f>F8/F$7</f>
        <v>0.57338403041825103</v>
      </c>
      <c r="G9" s="380">
        <f t="shared" ref="G9" si="0">G8/G7</f>
        <v>0.58426183844011148</v>
      </c>
      <c r="H9" s="40"/>
      <c r="I9" s="381">
        <f>I8/I$7</f>
        <v>0.56682966585167072</v>
      </c>
      <c r="J9" s="381">
        <f>J8/J$7</f>
        <v>0.55142547816672682</v>
      </c>
      <c r="K9" s="381">
        <f>K8/K$7</f>
        <v>0.53763440860215062</v>
      </c>
      <c r="L9" s="381">
        <f>L8/L$7</f>
        <v>0.5646895594866459</v>
      </c>
      <c r="M9" s="380">
        <f t="shared" ref="M9" si="1">M8/M7</f>
        <v>0.55024769992922851</v>
      </c>
      <c r="N9" s="40"/>
      <c r="O9" s="380">
        <v>0.52</v>
      </c>
      <c r="P9" s="380">
        <f t="shared" ref="P9:Q9" si="2">P8/P7</f>
        <v>0.51654461621914838</v>
      </c>
      <c r="Q9" s="380">
        <f t="shared" si="2"/>
        <v>0.52383053839364524</v>
      </c>
      <c r="R9" s="381">
        <f>R8/R$7</f>
        <v>0.52290414690745313</v>
      </c>
      <c r="S9" s="380">
        <f>S8/S7</f>
        <v>0.50357995226730312</v>
      </c>
      <c r="T9" s="40"/>
      <c r="U9" s="380">
        <f t="shared" ref="U9" si="3">U8/U7</f>
        <v>0.44902482269503546</v>
      </c>
      <c r="V9" s="380">
        <f t="shared" ref="V9:Z9" si="4">V8/V7</f>
        <v>0.44902482269503546</v>
      </c>
      <c r="W9" s="380">
        <f t="shared" si="4"/>
        <v>0.47088516315125289</v>
      </c>
      <c r="X9" s="380">
        <f t="shared" si="4"/>
        <v>0.51392058420812414</v>
      </c>
      <c r="Y9" s="380">
        <f t="shared" si="4"/>
        <v>0.34235807860262013</v>
      </c>
      <c r="Z9" s="380">
        <f t="shared" si="4"/>
        <v>0.49479873360470378</v>
      </c>
      <c r="AA9" s="284"/>
      <c r="AB9" s="380">
        <f t="shared" ref="AB9:AF9" si="5">AB8/AB7</f>
        <v>0.44184027777777773</v>
      </c>
      <c r="AC9" s="380">
        <f t="shared" si="5"/>
        <v>0.52927896147876397</v>
      </c>
      <c r="AD9" s="380">
        <f t="shared" si="5"/>
        <v>0.51221804511278191</v>
      </c>
      <c r="AE9" s="380">
        <f t="shared" si="5"/>
        <v>0.54666130329847151</v>
      </c>
      <c r="AF9" s="380">
        <f t="shared" si="5"/>
        <v>0.52648604933279408</v>
      </c>
      <c r="AG9" s="244"/>
      <c r="AH9" s="380">
        <f t="shared" ref="AH9:AL9" si="6">AH8/AH7</f>
        <v>0.45715491768678768</v>
      </c>
      <c r="AI9" s="380">
        <f t="shared" si="6"/>
        <v>0.51187295933511423</v>
      </c>
      <c r="AJ9" s="380">
        <f t="shared" si="6"/>
        <v>0.50504565112926481</v>
      </c>
      <c r="AK9" s="380">
        <f t="shared" si="6"/>
        <v>0.52294792586054728</v>
      </c>
      <c r="AL9" s="380">
        <f t="shared" si="6"/>
        <v>0.50731911334169799</v>
      </c>
      <c r="AM9" s="177"/>
      <c r="AN9" s="380">
        <f t="shared" ref="AN9:AR9" si="7">AN8/AN7</f>
        <v>0.44184027777777773</v>
      </c>
      <c r="AO9" s="380">
        <f t="shared" si="7"/>
        <v>0.5251259703118617</v>
      </c>
      <c r="AP9" s="380">
        <f t="shared" si="7"/>
        <v>0.51221804511278191</v>
      </c>
      <c r="AQ9" s="380">
        <f t="shared" si="7"/>
        <v>0.53454821564160981</v>
      </c>
      <c r="AR9" s="380">
        <f t="shared" si="7"/>
        <v>0.52615265401007361</v>
      </c>
      <c r="AS9" s="177"/>
      <c r="AT9" s="380">
        <f t="shared" ref="AT9:DE9" si="8">AT8/AT7</f>
        <v>0.46166198313930151</v>
      </c>
      <c r="AU9" s="380">
        <f t="shared" si="8"/>
        <v>0.51352108729157908</v>
      </c>
      <c r="AV9" s="380">
        <f t="shared" si="8"/>
        <v>0.50744920993227993</v>
      </c>
      <c r="AW9" s="380">
        <f t="shared" si="8"/>
        <v>0.52465810194778284</v>
      </c>
      <c r="AX9" s="380">
        <f t="shared" si="8"/>
        <v>0.50817058589079311</v>
      </c>
      <c r="AY9" s="380"/>
      <c r="AZ9" s="380">
        <f t="shared" si="8"/>
        <v>0.45751633986928103</v>
      </c>
      <c r="BA9" s="380">
        <f t="shared" si="8"/>
        <v>0.51555780419934227</v>
      </c>
      <c r="BB9" s="380">
        <f t="shared" si="8"/>
        <v>0.49465899753492193</v>
      </c>
      <c r="BC9" s="380">
        <f t="shared" si="8"/>
        <v>0.54510556621881001</v>
      </c>
      <c r="BD9" s="380">
        <f t="shared" si="8"/>
        <v>0.49786871270247229</v>
      </c>
      <c r="BE9" s="380"/>
      <c r="BF9" s="380">
        <f t="shared" si="8"/>
        <v>0.48319678189747228</v>
      </c>
      <c r="BG9" s="380">
        <f t="shared" si="8"/>
        <v>0.60057501863486318</v>
      </c>
      <c r="BH9" s="380">
        <f t="shared" si="8"/>
        <v>0.58819444444444446</v>
      </c>
      <c r="BI9" s="380">
        <f t="shared" si="8"/>
        <v>0.60200286123032909</v>
      </c>
      <c r="BJ9" s="380">
        <f t="shared" si="8"/>
        <v>0.61074270557029164</v>
      </c>
      <c r="BK9" s="380"/>
      <c r="BL9" s="380">
        <f t="shared" si="8"/>
        <v>0.56234335839599003</v>
      </c>
      <c r="BM9" s="380">
        <f t="shared" si="8"/>
        <v>0.60175054704595188</v>
      </c>
      <c r="BN9" s="380">
        <f t="shared" si="8"/>
        <v>0.5881320224719101</v>
      </c>
      <c r="BO9" s="380">
        <f t="shared" si="8"/>
        <v>0.60867084997147747</v>
      </c>
      <c r="BP9" s="380">
        <f t="shared" si="8"/>
        <v>0.60622880049337025</v>
      </c>
      <c r="BQ9" s="380"/>
      <c r="BR9" s="380">
        <f t="shared" si="8"/>
        <v>0.57197943444730082</v>
      </c>
      <c r="BS9" s="380">
        <f t="shared" si="8"/>
        <v>0.62317002881844386</v>
      </c>
      <c r="BT9" s="380">
        <f t="shared" si="8"/>
        <v>0.6014548238897397</v>
      </c>
      <c r="BU9" s="380">
        <f t="shared" si="8"/>
        <v>0.63717662088789517</v>
      </c>
      <c r="BV9" s="380">
        <f t="shared" si="8"/>
        <v>0.62755798090040926</v>
      </c>
      <c r="BW9" s="380"/>
      <c r="BX9" s="380">
        <f t="shared" si="8"/>
        <v>0.59635323560958176</v>
      </c>
      <c r="BY9" s="380">
        <f t="shared" si="8"/>
        <v>0.61404133998574495</v>
      </c>
      <c r="BZ9" s="380">
        <f t="shared" si="8"/>
        <v>0.59490550534100251</v>
      </c>
      <c r="CA9" s="380">
        <f t="shared" si="8"/>
        <v>0.63835434638354349</v>
      </c>
      <c r="CB9" s="380">
        <f t="shared" si="8"/>
        <v>0.60505050505050506</v>
      </c>
      <c r="CC9" s="380"/>
      <c r="CD9" s="380">
        <f t="shared" si="8"/>
        <v>0.54522211569191437</v>
      </c>
      <c r="CE9" s="380">
        <f t="shared" si="8"/>
        <v>0.59032931354359919</v>
      </c>
      <c r="CF9" s="380">
        <f t="shared" si="8"/>
        <v>0.57727820152549181</v>
      </c>
      <c r="CG9" s="380">
        <f t="shared" si="8"/>
        <v>0.58872458410351192</v>
      </c>
      <c r="CH9" s="380">
        <f t="shared" si="8"/>
        <v>0.60339452719085551</v>
      </c>
      <c r="CI9" s="380"/>
      <c r="CJ9" s="380">
        <f t="shared" si="8"/>
        <v>0.57644187779433687</v>
      </c>
      <c r="CK9" s="380">
        <f t="shared" si="8"/>
        <v>0.59696433799004667</v>
      </c>
      <c r="CL9" s="380">
        <f t="shared" si="8"/>
        <v>0.57906168549087755</v>
      </c>
      <c r="CM9" s="380">
        <f t="shared" si="8"/>
        <v>0.59904095283417935</v>
      </c>
      <c r="CN9" s="380">
        <f t="shared" si="8"/>
        <v>0.608579980046558</v>
      </c>
      <c r="CO9" s="380"/>
      <c r="CP9" s="380">
        <f t="shared" si="8"/>
        <v>0.56226126814362098</v>
      </c>
      <c r="CQ9" s="380">
        <f t="shared" si="8"/>
        <v>0.5899600715217187</v>
      </c>
      <c r="CR9" s="380">
        <f t="shared" si="8"/>
        <v>0.57266761121177845</v>
      </c>
      <c r="CS9" s="380">
        <f t="shared" si="8"/>
        <v>0.58738398401935077</v>
      </c>
      <c r="CT9" s="380">
        <f t="shared" si="8"/>
        <v>0.60699300699300696</v>
      </c>
      <c r="CU9" s="380"/>
      <c r="CV9" s="380">
        <f t="shared" si="8"/>
        <v>0.53306050664592275</v>
      </c>
      <c r="CW9" s="380">
        <f t="shared" si="8"/>
        <v>0.57622305408545249</v>
      </c>
      <c r="CX9" s="380">
        <f t="shared" si="8"/>
        <v>0.54186265286923807</v>
      </c>
      <c r="CY9" s="380">
        <f t="shared" si="8"/>
        <v>0.57111597374179435</v>
      </c>
      <c r="CZ9" s="380">
        <f t="shared" si="8"/>
        <v>0.60646057658909347</v>
      </c>
      <c r="DA9" s="380"/>
      <c r="DB9" s="380">
        <f t="shared" si="8"/>
        <v>0.56646579227224392</v>
      </c>
      <c r="DC9" s="380">
        <f t="shared" si="8"/>
        <v>0.58110792829421554</v>
      </c>
      <c r="DD9" s="380">
        <f t="shared" si="8"/>
        <v>0.56861888111888104</v>
      </c>
      <c r="DE9" s="380">
        <f t="shared" si="8"/>
        <v>0.57921142342574128</v>
      </c>
      <c r="DF9" s="380">
        <f t="shared" ref="DF9" si="9">DF8/DF7</f>
        <v>0.59168149193301034</v>
      </c>
      <c r="DG9" s="242"/>
    </row>
    <row r="10" spans="2:116" s="213" customFormat="1" ht="18.75" customHeight="1" x14ac:dyDescent="0.2">
      <c r="B10" s="39" t="s">
        <v>366</v>
      </c>
      <c r="C10" s="466">
        <v>142.6</v>
      </c>
      <c r="D10" s="301">
        <v>459.1</v>
      </c>
      <c r="E10" s="301">
        <v>135.5</v>
      </c>
      <c r="F10" s="301">
        <v>155.30000000000001</v>
      </c>
      <c r="G10" s="281"/>
      <c r="H10" s="40"/>
      <c r="I10" s="301"/>
      <c r="J10" s="301"/>
      <c r="K10" s="301"/>
      <c r="L10" s="301"/>
      <c r="M10" s="281"/>
      <c r="N10" s="40"/>
      <c r="O10" s="281"/>
      <c r="P10" s="281"/>
      <c r="Q10" s="383"/>
      <c r="R10" s="301"/>
      <c r="S10" s="281"/>
      <c r="T10" s="40"/>
      <c r="U10" s="281"/>
      <c r="V10" s="281"/>
      <c r="W10" s="281"/>
      <c r="X10" s="281"/>
      <c r="Y10" s="281"/>
      <c r="Z10" s="281"/>
      <c r="AA10" s="284"/>
      <c r="AB10" s="281"/>
      <c r="AC10" s="281"/>
      <c r="AD10" s="301"/>
      <c r="AE10" s="281"/>
      <c r="AF10" s="281"/>
      <c r="AG10" s="244"/>
      <c r="AH10" s="281"/>
      <c r="AI10" s="281"/>
      <c r="AJ10" s="281"/>
      <c r="AK10" s="281"/>
      <c r="AL10" s="281"/>
      <c r="AM10" s="177"/>
      <c r="AN10" s="177"/>
      <c r="AO10" s="177"/>
      <c r="AP10" s="301"/>
      <c r="AQ10" s="177"/>
      <c r="AR10" s="177"/>
      <c r="AS10" s="177"/>
      <c r="AT10" s="177"/>
      <c r="AU10" s="177"/>
      <c r="AV10" s="177"/>
      <c r="AW10" s="177"/>
      <c r="AX10" s="177"/>
      <c r="AY10" s="244"/>
      <c r="AZ10" s="177"/>
      <c r="BA10" s="177"/>
      <c r="BB10" s="177"/>
      <c r="BC10" s="84"/>
      <c r="BD10" s="84"/>
      <c r="BE10" s="238"/>
      <c r="BF10" s="84"/>
      <c r="BG10" s="178"/>
      <c r="BH10" s="84"/>
      <c r="BI10" s="84"/>
      <c r="BJ10" s="84"/>
      <c r="BK10" s="239"/>
      <c r="BL10" s="84"/>
      <c r="BM10" s="178"/>
      <c r="BN10" s="84"/>
      <c r="BO10" s="84"/>
      <c r="BP10" s="84"/>
      <c r="BQ10" s="240"/>
      <c r="BR10" s="84"/>
      <c r="BS10" s="178"/>
      <c r="BT10" s="84"/>
      <c r="BU10" s="84"/>
      <c r="BV10" s="84"/>
      <c r="BW10" s="241"/>
      <c r="BX10" s="84"/>
      <c r="BY10" s="178"/>
      <c r="BZ10" s="84"/>
      <c r="CA10" s="84"/>
      <c r="CB10" s="84"/>
      <c r="CC10" s="241"/>
      <c r="CD10" s="84"/>
      <c r="CE10" s="84"/>
      <c r="CF10" s="84"/>
      <c r="CG10" s="84"/>
      <c r="CH10" s="84"/>
      <c r="CI10" s="241"/>
      <c r="CJ10" s="84"/>
      <c r="CK10" s="84"/>
      <c r="CL10" s="84"/>
      <c r="CM10" s="84"/>
      <c r="CN10" s="84"/>
      <c r="CO10" s="241"/>
      <c r="CP10" s="84"/>
      <c r="CQ10" s="84"/>
      <c r="CR10" s="84"/>
      <c r="CS10" s="84"/>
      <c r="CT10" s="84"/>
      <c r="CU10" s="241"/>
      <c r="CV10" s="84"/>
      <c r="CW10" s="84"/>
      <c r="CX10" s="84"/>
      <c r="CY10" s="84"/>
      <c r="CZ10" s="84"/>
      <c r="DA10" s="241"/>
      <c r="DB10" s="84"/>
      <c r="DC10" s="84"/>
      <c r="DD10" s="84"/>
      <c r="DE10" s="84"/>
      <c r="DF10" s="84"/>
      <c r="DG10" s="242"/>
    </row>
    <row r="11" spans="2:116" s="213" customFormat="1" ht="15.75" customHeight="1" x14ac:dyDescent="0.2">
      <c r="B11" s="379" t="s">
        <v>333</v>
      </c>
      <c r="C11" s="381">
        <v>0.59499999999999997</v>
      </c>
      <c r="D11" s="381">
        <v>0.58499999999999996</v>
      </c>
      <c r="E11" s="381">
        <v>0.57699999999999996</v>
      </c>
      <c r="F11" s="381">
        <v>0.59099999999999997</v>
      </c>
      <c r="G11" s="380"/>
      <c r="H11" s="40"/>
      <c r="I11" s="381"/>
      <c r="J11" s="381"/>
      <c r="K11" s="381"/>
      <c r="L11" s="381"/>
      <c r="M11" s="380"/>
      <c r="N11" s="40"/>
      <c r="O11" s="380"/>
      <c r="P11" s="380"/>
      <c r="Q11" s="380"/>
      <c r="R11" s="381"/>
      <c r="S11" s="380"/>
      <c r="T11" s="40"/>
      <c r="U11" s="380"/>
      <c r="V11" s="380"/>
      <c r="W11" s="380"/>
      <c r="X11" s="380"/>
      <c r="Y11" s="380"/>
      <c r="Z11" s="380"/>
      <c r="AA11" s="284"/>
      <c r="AB11" s="380"/>
      <c r="AC11" s="380"/>
      <c r="AD11" s="380"/>
      <c r="AE11" s="380"/>
      <c r="AF11" s="380"/>
      <c r="AG11" s="244"/>
      <c r="AH11" s="380"/>
      <c r="AI11" s="380"/>
      <c r="AJ11" s="380"/>
      <c r="AK11" s="380"/>
      <c r="AL11" s="380"/>
      <c r="AM11" s="177"/>
      <c r="AN11" s="380"/>
      <c r="AO11" s="380"/>
      <c r="AP11" s="380"/>
      <c r="AQ11" s="380"/>
      <c r="AR11" s="380"/>
      <c r="AS11" s="177"/>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242"/>
    </row>
    <row r="12" spans="2:116" s="213" customFormat="1" ht="9" customHeight="1" x14ac:dyDescent="0.2">
      <c r="F12" s="381"/>
      <c r="G12" s="380"/>
      <c r="H12" s="40"/>
      <c r="I12" s="381"/>
      <c r="J12" s="381"/>
      <c r="K12" s="381"/>
      <c r="L12" s="381"/>
      <c r="M12" s="380"/>
      <c r="N12" s="40"/>
      <c r="O12" s="380"/>
      <c r="P12" s="380"/>
      <c r="Q12" s="380"/>
      <c r="R12" s="381"/>
      <c r="S12" s="380"/>
      <c r="T12" s="40"/>
      <c r="U12" s="380"/>
      <c r="V12" s="380"/>
      <c r="W12" s="380"/>
      <c r="X12" s="380"/>
      <c r="Y12" s="380"/>
      <c r="Z12" s="380"/>
      <c r="AA12" s="284"/>
      <c r="AB12" s="380"/>
      <c r="AC12" s="380"/>
      <c r="AD12" s="380"/>
      <c r="AE12" s="380"/>
      <c r="AF12" s="380"/>
      <c r="AG12" s="244"/>
      <c r="AH12" s="380"/>
      <c r="AI12" s="380"/>
      <c r="AJ12" s="380"/>
      <c r="AK12" s="380"/>
      <c r="AL12" s="380"/>
      <c r="AM12" s="177"/>
      <c r="AN12" s="380"/>
      <c r="AO12" s="380"/>
      <c r="AP12" s="380"/>
      <c r="AQ12" s="380"/>
      <c r="AR12" s="380"/>
      <c r="AS12" s="177"/>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242"/>
    </row>
    <row r="13" spans="2:116" s="213" customFormat="1" ht="18.75" customHeight="1" x14ac:dyDescent="0.2">
      <c r="B13" s="39" t="s">
        <v>0</v>
      </c>
      <c r="C13" s="466">
        <v>4.9000000000000004</v>
      </c>
      <c r="D13" s="301">
        <v>58</v>
      </c>
      <c r="E13" s="301">
        <v>13.4</v>
      </c>
      <c r="F13" s="301">
        <v>15.3</v>
      </c>
      <c r="G13" s="28">
        <v>29.3</v>
      </c>
      <c r="H13" s="40"/>
      <c r="I13" s="301">
        <v>13.3</v>
      </c>
      <c r="J13" s="301">
        <v>83.6</v>
      </c>
      <c r="K13" s="301">
        <v>21.5</v>
      </c>
      <c r="L13" s="301">
        <v>33.299999999999997</v>
      </c>
      <c r="M13" s="28">
        <v>28.7</v>
      </c>
      <c r="N13" s="40"/>
      <c r="O13" s="28">
        <v>10.9</v>
      </c>
      <c r="P13" s="28">
        <v>68.400000000000006</v>
      </c>
      <c r="Q13" s="383">
        <v>17.399999999999999</v>
      </c>
      <c r="R13" s="301">
        <v>37.652000000000001</v>
      </c>
      <c r="S13" s="281">
        <v>13.4</v>
      </c>
      <c r="T13" s="40"/>
      <c r="U13" s="28">
        <v>1.7</v>
      </c>
      <c r="V13" s="28">
        <v>5.7</v>
      </c>
      <c r="W13" s="28">
        <v>-25.8</v>
      </c>
      <c r="X13" s="281">
        <v>12.8</v>
      </c>
      <c r="Y13" s="28">
        <v>-42</v>
      </c>
      <c r="Z13" s="281">
        <v>3.4</v>
      </c>
      <c r="AA13" s="284"/>
      <c r="AB13" s="28">
        <v>-17.899999999999999</v>
      </c>
      <c r="AC13" s="281">
        <v>43.9</v>
      </c>
      <c r="AD13" s="281">
        <v>7.7</v>
      </c>
      <c r="AE13" s="281">
        <v>17.399999999999999</v>
      </c>
      <c r="AF13" s="281">
        <v>18.899999999999999</v>
      </c>
      <c r="AG13" s="244"/>
      <c r="AH13" s="339">
        <v>12</v>
      </c>
      <c r="AI13" s="281">
        <v>39.4</v>
      </c>
      <c r="AJ13" s="281">
        <v>12.7</v>
      </c>
      <c r="AK13" s="281">
        <v>12.3</v>
      </c>
      <c r="AL13" s="281">
        <v>14.5</v>
      </c>
      <c r="AM13" s="177"/>
      <c r="AN13" s="246">
        <v>-17.899999999999999</v>
      </c>
      <c r="AO13" s="177">
        <f>AR13+AQ13+AP13</f>
        <v>40.700000000000003</v>
      </c>
      <c r="AP13" s="281">
        <v>7.7</v>
      </c>
      <c r="AQ13" s="177">
        <v>14.7</v>
      </c>
      <c r="AR13" s="177">
        <v>18.3</v>
      </c>
      <c r="AS13" s="177"/>
      <c r="AT13" s="84">
        <v>9</v>
      </c>
      <c r="AU13" s="177">
        <f>AX13+AW13+AV13</f>
        <v>32.800000000000004</v>
      </c>
      <c r="AV13" s="177">
        <v>11.1</v>
      </c>
      <c r="AW13" s="177">
        <v>10.3</v>
      </c>
      <c r="AX13" s="177">
        <v>11.4</v>
      </c>
      <c r="AY13" s="244"/>
      <c r="AZ13" s="246">
        <v>-12.9</v>
      </c>
      <c r="BA13" s="246">
        <f>BB13+BC13+BD13</f>
        <v>38.900000000000006</v>
      </c>
      <c r="BB13" s="246">
        <v>14.7</v>
      </c>
      <c r="BC13" s="84">
        <v>33.700000000000003</v>
      </c>
      <c r="BD13" s="246">
        <v>-9.5</v>
      </c>
      <c r="BE13" s="238"/>
      <c r="BF13" s="84">
        <v>9.9440000000000008</v>
      </c>
      <c r="BG13" s="178">
        <f>BH13+BI13+BJ13</f>
        <v>71</v>
      </c>
      <c r="BH13" s="84">
        <v>18.8</v>
      </c>
      <c r="BI13" s="84">
        <v>32.4</v>
      </c>
      <c r="BJ13" s="84">
        <v>19.8</v>
      </c>
      <c r="BK13" s="239"/>
      <c r="BL13" s="84">
        <v>7.3</v>
      </c>
      <c r="BM13" s="178">
        <f>BN13+BO13+BP13</f>
        <v>75.099999999999994</v>
      </c>
      <c r="BN13" s="84">
        <v>14.7</v>
      </c>
      <c r="BO13" s="84">
        <v>29</v>
      </c>
      <c r="BP13" s="84">
        <v>31.4</v>
      </c>
      <c r="BQ13" s="240"/>
      <c r="BR13" s="84">
        <v>27.4</v>
      </c>
      <c r="BS13" s="178">
        <f>BT13+BU13+BV13</f>
        <v>83.3</v>
      </c>
      <c r="BT13" s="84">
        <v>14.6</v>
      </c>
      <c r="BU13" s="84">
        <v>33.299999999999997</v>
      </c>
      <c r="BV13" s="84">
        <v>35.4</v>
      </c>
      <c r="BW13" s="241"/>
      <c r="BX13" s="84">
        <v>30.4</v>
      </c>
      <c r="BY13" s="178">
        <f>BZ13+CA13+CB13</f>
        <v>81.300000000000011</v>
      </c>
      <c r="BZ13" s="84">
        <v>16.3</v>
      </c>
      <c r="CA13" s="84">
        <v>30.3</v>
      </c>
      <c r="CB13" s="84">
        <v>34.700000000000003</v>
      </c>
      <c r="CC13" s="241"/>
      <c r="CD13" s="84">
        <v>29.2</v>
      </c>
      <c r="CE13" s="84">
        <f>CF13+CG13+CH13</f>
        <v>85.899999999999991</v>
      </c>
      <c r="CF13" s="84">
        <v>15.2</v>
      </c>
      <c r="CG13" s="84">
        <v>38.4</v>
      </c>
      <c r="CH13" s="84">
        <v>32.299999999999997</v>
      </c>
      <c r="CI13" s="241"/>
      <c r="CJ13" s="84">
        <v>24.978999999999999</v>
      </c>
      <c r="CK13" s="84">
        <f>CL13+CM13+CN13</f>
        <v>97.605999999999995</v>
      </c>
      <c r="CL13" s="84">
        <v>17.399999999999999</v>
      </c>
      <c r="CM13" s="84">
        <v>39.506</v>
      </c>
      <c r="CN13" s="84">
        <v>40.700000000000003</v>
      </c>
      <c r="CO13" s="241"/>
      <c r="CP13" s="84">
        <v>25.3</v>
      </c>
      <c r="CQ13" s="84">
        <f>CR13+CS13+CT13</f>
        <v>82.492999999999995</v>
      </c>
      <c r="CR13" s="84">
        <v>17.722999999999999</v>
      </c>
      <c r="CS13" s="84">
        <v>30.17</v>
      </c>
      <c r="CT13" s="84">
        <v>34.6</v>
      </c>
      <c r="CU13" s="241"/>
      <c r="CV13" s="84">
        <v>10.709</v>
      </c>
      <c r="CW13" s="84">
        <f>CX13+CY13+CZ13</f>
        <v>47.599999999999994</v>
      </c>
      <c r="CX13" s="84">
        <v>3.5</v>
      </c>
      <c r="CY13" s="84">
        <v>13.9</v>
      </c>
      <c r="CZ13" s="84">
        <v>30.2</v>
      </c>
      <c r="DA13" s="241"/>
      <c r="DB13" s="84">
        <v>24.5</v>
      </c>
      <c r="DC13" s="84">
        <f>DD13+DE13+DF13</f>
        <v>101.88000000000001</v>
      </c>
      <c r="DD13" s="84">
        <v>16.66</v>
      </c>
      <c r="DE13" s="84">
        <v>38.520000000000003</v>
      </c>
      <c r="DF13" s="84">
        <v>46.7</v>
      </c>
    </row>
    <row r="14" spans="2:116" s="213" customFormat="1" ht="15.75" customHeight="1" x14ac:dyDescent="0.2">
      <c r="B14" s="379" t="s">
        <v>333</v>
      </c>
      <c r="C14" s="381">
        <v>0.02</v>
      </c>
      <c r="D14" s="381">
        <v>7.3999999999999996E-2</v>
      </c>
      <c r="E14" s="381">
        <v>5.7000000000000002E-2</v>
      </c>
      <c r="F14" s="381">
        <f>F13/F$7</f>
        <v>5.8174904942965781E-2</v>
      </c>
      <c r="G14" s="380">
        <f t="shared" ref="G14" si="10">G13/G$7</f>
        <v>0.10201949860724234</v>
      </c>
      <c r="H14" s="40"/>
      <c r="I14" s="381">
        <f>I13/I$7</f>
        <v>5.4197229013854931E-2</v>
      </c>
      <c r="J14" s="381">
        <f>J13/J$7</f>
        <v>0.10056537952604354</v>
      </c>
      <c r="K14" s="381">
        <f>K13/K$7</f>
        <v>8.2565284178187412E-2</v>
      </c>
      <c r="L14" s="381">
        <f>L13/L$7</f>
        <v>0.11550468262226846</v>
      </c>
      <c r="M14" s="380">
        <f t="shared" ref="M14:Q14" si="11">M13/M$7</f>
        <v>0.10155697098372257</v>
      </c>
      <c r="N14" s="40"/>
      <c r="O14" s="380">
        <f t="shared" si="11"/>
        <v>4.6942291128337643E-2</v>
      </c>
      <c r="P14" s="380">
        <f t="shared" si="11"/>
        <v>9.2758340113913762E-2</v>
      </c>
      <c r="Q14" s="380">
        <f t="shared" si="11"/>
        <v>7.6787290379523379E-2</v>
      </c>
      <c r="R14" s="381">
        <f>R13/R$7</f>
        <v>0.14517272168624909</v>
      </c>
      <c r="S14" s="380">
        <f>S13/S$7</f>
        <v>5.3301511535401754E-2</v>
      </c>
      <c r="T14" s="40"/>
      <c r="U14" s="380">
        <f t="shared" ref="U14" si="12">U13/U$7</f>
        <v>7.535460992907801E-3</v>
      </c>
      <c r="V14" s="380">
        <f t="shared" ref="V14:Z14" si="13">V13/V$7</f>
        <v>2.5265957446808512E-2</v>
      </c>
      <c r="W14" s="380">
        <f t="shared" si="13"/>
        <v>-4.6511627906976744E-2</v>
      </c>
      <c r="X14" s="380">
        <f t="shared" si="13"/>
        <v>5.8420812414422645E-2</v>
      </c>
      <c r="Y14" s="380">
        <f t="shared" si="13"/>
        <v>-0.36681222707423583</v>
      </c>
      <c r="Z14" s="380">
        <f t="shared" si="13"/>
        <v>1.5377657168701944E-2</v>
      </c>
      <c r="AA14" s="284"/>
      <c r="AB14" s="380">
        <f t="shared" ref="AB14:AF14" si="14">AB13/AB$7</f>
        <v>-7.769097222222221E-2</v>
      </c>
      <c r="AC14" s="380">
        <f t="shared" si="14"/>
        <v>6.1944405249047547E-2</v>
      </c>
      <c r="AD14" s="380">
        <f t="shared" si="14"/>
        <v>3.6184210526315791E-2</v>
      </c>
      <c r="AE14" s="380">
        <f t="shared" si="14"/>
        <v>6.9991954947707158E-2</v>
      </c>
      <c r="AF14" s="380">
        <f t="shared" si="14"/>
        <v>7.6425394257986237E-2</v>
      </c>
      <c r="AG14" s="244"/>
      <c r="AH14" s="380">
        <f t="shared" ref="AH14:CS14" si="15">AH13/AH$7</f>
        <v>5.0654284508231319E-2</v>
      </c>
      <c r="AI14" s="380">
        <f t="shared" si="15"/>
        <v>5.8474324725437815E-2</v>
      </c>
      <c r="AJ14" s="380">
        <f t="shared" si="15"/>
        <v>6.1028351753964441E-2</v>
      </c>
      <c r="AK14" s="380">
        <f t="shared" si="15"/>
        <v>5.4280670785525162E-2</v>
      </c>
      <c r="AL14" s="380">
        <f t="shared" si="15"/>
        <v>6.0644081974069432E-2</v>
      </c>
      <c r="AM14" s="177"/>
      <c r="AN14" s="380">
        <f t="shared" si="15"/>
        <v>-7.769097222222221E-2</v>
      </c>
      <c r="AO14" s="380">
        <f t="shared" si="15"/>
        <v>5.5426937219120259E-2</v>
      </c>
      <c r="AP14" s="380">
        <f t="shared" si="15"/>
        <v>3.6184210526315791E-2</v>
      </c>
      <c r="AQ14" s="380">
        <f t="shared" si="15"/>
        <v>5.5808656036446469E-2</v>
      </c>
      <c r="AR14" s="380">
        <f t="shared" si="15"/>
        <v>7.0902750871755127E-2</v>
      </c>
      <c r="AS14" s="177"/>
      <c r="AT14" s="380">
        <f t="shared" si="15"/>
        <v>3.6130068245684467E-2</v>
      </c>
      <c r="AU14" s="380">
        <f t="shared" si="15"/>
        <v>4.5957685301947597E-2</v>
      </c>
      <c r="AV14" s="380">
        <f t="shared" si="15"/>
        <v>5.0112866817155752E-2</v>
      </c>
      <c r="AW14" s="380">
        <f t="shared" si="15"/>
        <v>4.2685453791960218E-2</v>
      </c>
      <c r="AX14" s="380">
        <f t="shared" si="15"/>
        <v>4.5436428856117976E-2</v>
      </c>
      <c r="AY14" s="380"/>
      <c r="AZ14" s="380">
        <f t="shared" si="15"/>
        <v>-5.2696078431372549E-2</v>
      </c>
      <c r="BA14" s="380">
        <f t="shared" si="15"/>
        <v>4.9203136858082475E-2</v>
      </c>
      <c r="BB14" s="380">
        <f t="shared" si="15"/>
        <v>6.0394412489728835E-2</v>
      </c>
      <c r="BC14" s="380">
        <f t="shared" si="15"/>
        <v>0.10780550223928342</v>
      </c>
      <c r="BD14" s="380">
        <f t="shared" si="15"/>
        <v>-4.0494458653026429E-2</v>
      </c>
      <c r="BE14" s="380"/>
      <c r="BF14" s="380">
        <f t="shared" si="15"/>
        <v>3.1681462393874746E-2</v>
      </c>
      <c r="BG14" s="380">
        <f t="shared" si="15"/>
        <v>7.5604301991268233E-2</v>
      </c>
      <c r="BH14" s="380">
        <f t="shared" si="15"/>
        <v>6.5277777777777782E-2</v>
      </c>
      <c r="BI14" s="380">
        <f t="shared" si="15"/>
        <v>9.27038626609442E-2</v>
      </c>
      <c r="BJ14" s="380">
        <f t="shared" si="15"/>
        <v>6.56498673740053E-2</v>
      </c>
      <c r="BK14" s="380"/>
      <c r="BL14" s="380">
        <f t="shared" si="15"/>
        <v>2.2869674185463658E-2</v>
      </c>
      <c r="BM14" s="380">
        <f t="shared" si="15"/>
        <v>7.8253620923205161E-2</v>
      </c>
      <c r="BN14" s="380">
        <f t="shared" si="15"/>
        <v>5.1615168539325837E-2</v>
      </c>
      <c r="BO14" s="380">
        <f t="shared" si="15"/>
        <v>8.2715345122646888E-2</v>
      </c>
      <c r="BP14" s="380">
        <f t="shared" si="15"/>
        <v>9.6823928461301251E-2</v>
      </c>
      <c r="BQ14" s="380"/>
      <c r="BR14" s="380">
        <f t="shared" si="15"/>
        <v>8.804627249357326E-2</v>
      </c>
      <c r="BS14" s="380">
        <f t="shared" si="15"/>
        <v>9.6023054755043219E-2</v>
      </c>
      <c r="BT14" s="380">
        <f t="shared" si="15"/>
        <v>5.5895865237366005E-2</v>
      </c>
      <c r="BU14" s="380">
        <f t="shared" si="15"/>
        <v>0.10635579687000957</v>
      </c>
      <c r="BV14" s="380">
        <f t="shared" si="15"/>
        <v>0.12073669849931787</v>
      </c>
      <c r="BW14" s="380"/>
      <c r="BX14" s="380">
        <f t="shared" si="15"/>
        <v>0.10868787987129067</v>
      </c>
      <c r="BY14" s="380">
        <f t="shared" si="15"/>
        <v>9.6578759800427669E-2</v>
      </c>
      <c r="BZ14" s="380">
        <f t="shared" si="15"/>
        <v>6.6967953985209536E-2</v>
      </c>
      <c r="CA14" s="380">
        <f t="shared" si="15"/>
        <v>0.10053085600530857</v>
      </c>
      <c r="CB14" s="380">
        <f t="shared" si="15"/>
        <v>0.11683501683501685</v>
      </c>
      <c r="CC14" s="380"/>
      <c r="CD14" s="380">
        <f t="shared" si="15"/>
        <v>9.332054969638863E-2</v>
      </c>
      <c r="CE14" s="380">
        <f t="shared" si="15"/>
        <v>9.9605751391465658E-2</v>
      </c>
      <c r="CF14" s="380">
        <f t="shared" si="15"/>
        <v>6.1019670814933757E-2</v>
      </c>
      <c r="CG14" s="380">
        <f t="shared" si="15"/>
        <v>0.11829944547134934</v>
      </c>
      <c r="CH14" s="380">
        <f t="shared" si="15"/>
        <v>0.11188084516799446</v>
      </c>
      <c r="CI14" s="380"/>
      <c r="CJ14" s="380">
        <f t="shared" si="15"/>
        <v>9.3066318926974673E-2</v>
      </c>
      <c r="CK14" s="380">
        <f t="shared" si="15"/>
        <v>0.11710490322642569</v>
      </c>
      <c r="CL14" s="380">
        <f t="shared" si="15"/>
        <v>7.5586446568201557E-2</v>
      </c>
      <c r="CM14" s="380">
        <f t="shared" si="15"/>
        <v>0.13055864001692047</v>
      </c>
      <c r="CN14" s="380">
        <f t="shared" si="15"/>
        <v>0.13535084802128369</v>
      </c>
      <c r="CO14" s="380"/>
      <c r="CP14" s="380">
        <f t="shared" si="15"/>
        <v>9.6638655462184878E-2</v>
      </c>
      <c r="CQ14" s="380">
        <f t="shared" si="15"/>
        <v>0.10082093537990719</v>
      </c>
      <c r="CR14" s="380">
        <f t="shared" si="15"/>
        <v>7.4511155862556064E-2</v>
      </c>
      <c r="CS14" s="380">
        <f t="shared" si="15"/>
        <v>0.10249493810216201</v>
      </c>
      <c r="CT14" s="380">
        <f t="shared" ref="CT14:DF14" si="16">CT13/CT$7</f>
        <v>0.12097902097902098</v>
      </c>
      <c r="CU14" s="380"/>
      <c r="CV14" s="380">
        <f t="shared" si="16"/>
        <v>4.5274292285318089E-2</v>
      </c>
      <c r="CW14" s="380">
        <f t="shared" si="16"/>
        <v>6.1443139279721178E-2</v>
      </c>
      <c r="CX14" s="380">
        <f t="shared" si="16"/>
        <v>1.6462841015992474E-2</v>
      </c>
      <c r="CY14" s="380">
        <f t="shared" si="16"/>
        <v>5.0692924872355945E-2</v>
      </c>
      <c r="CZ14" s="380">
        <f t="shared" si="16"/>
        <v>0.10489753386592568</v>
      </c>
      <c r="DA14" s="380"/>
      <c r="DB14" s="380">
        <f t="shared" si="16"/>
        <v>8.6848635235731997E-2</v>
      </c>
      <c r="DC14" s="380">
        <f t="shared" si="16"/>
        <v>0.11767695435224544</v>
      </c>
      <c r="DD14" s="380">
        <f t="shared" si="16"/>
        <v>7.281468531468531E-2</v>
      </c>
      <c r="DE14" s="380">
        <f t="shared" si="16"/>
        <v>0.12388242104586095</v>
      </c>
      <c r="DF14" s="380">
        <f t="shared" si="16"/>
        <v>0.14324274584381327</v>
      </c>
      <c r="DG14" s="242"/>
    </row>
    <row r="15" spans="2:116" s="213" customFormat="1" ht="18.75" customHeight="1" x14ac:dyDescent="0.2">
      <c r="B15" s="40" t="s">
        <v>256</v>
      </c>
      <c r="C15" s="466">
        <v>16.5</v>
      </c>
      <c r="D15" s="301">
        <v>75.400000000000006</v>
      </c>
      <c r="E15" s="301">
        <v>18.100000000000001</v>
      </c>
      <c r="F15" s="301">
        <v>24.9</v>
      </c>
      <c r="G15" s="28">
        <v>32.4</v>
      </c>
      <c r="H15" s="40"/>
      <c r="I15" s="301">
        <v>15.9</v>
      </c>
      <c r="J15" s="301">
        <v>85.3</v>
      </c>
      <c r="K15" s="301">
        <v>22.6</v>
      </c>
      <c r="L15" s="301">
        <v>30.6</v>
      </c>
      <c r="M15" s="28">
        <v>32</v>
      </c>
      <c r="N15" s="40"/>
      <c r="O15" s="28">
        <v>12.7</v>
      </c>
      <c r="P15" s="28">
        <v>68.8</v>
      </c>
      <c r="Q15" s="383">
        <v>19.100000000000001</v>
      </c>
      <c r="R15" s="301">
        <v>23.829130999999997</v>
      </c>
      <c r="S15" s="284">
        <v>25.8</v>
      </c>
      <c r="T15" s="40"/>
      <c r="U15" s="28">
        <v>11</v>
      </c>
      <c r="V15" s="28">
        <v>15</v>
      </c>
      <c r="W15" s="28">
        <v>-13.9</v>
      </c>
      <c r="X15" s="284">
        <v>14.3</v>
      </c>
      <c r="Y15" s="28">
        <v>-34.1</v>
      </c>
      <c r="Z15" s="284">
        <v>5.8</v>
      </c>
      <c r="AA15" s="284"/>
      <c r="AB15" s="284">
        <v>11.1</v>
      </c>
      <c r="AC15" s="284">
        <v>54.3</v>
      </c>
      <c r="AD15" s="284">
        <v>13.1</v>
      </c>
      <c r="AE15" s="284">
        <v>21.2</v>
      </c>
      <c r="AF15" s="340">
        <v>20</v>
      </c>
      <c r="AG15" s="244"/>
      <c r="AH15" s="32">
        <v>13.3</v>
      </c>
      <c r="AI15" s="32">
        <v>43.9</v>
      </c>
      <c r="AJ15" s="32">
        <v>13.7</v>
      </c>
      <c r="AK15" s="32">
        <v>14.1</v>
      </c>
      <c r="AL15" s="32">
        <v>16.100000000000001</v>
      </c>
      <c r="AM15" s="177"/>
      <c r="AN15" s="246">
        <v>11.1</v>
      </c>
      <c r="AO15" s="246">
        <f>AR15+AQ15+AP15</f>
        <v>52.4</v>
      </c>
      <c r="AP15" s="284">
        <v>13.1</v>
      </c>
      <c r="AQ15" s="177">
        <v>19.899999999999999</v>
      </c>
      <c r="AR15" s="247">
        <v>19.399999999999999</v>
      </c>
      <c r="AS15" s="177"/>
      <c r="AT15" s="246">
        <v>10.3</v>
      </c>
      <c r="AU15" s="246">
        <f>AX15+AW15+AV15</f>
        <v>37.200000000000003</v>
      </c>
      <c r="AV15" s="246">
        <v>12</v>
      </c>
      <c r="AW15" s="177">
        <v>12.1</v>
      </c>
      <c r="AX15" s="177">
        <v>13.1</v>
      </c>
      <c r="AY15" s="244"/>
      <c r="AZ15" s="248">
        <v>-2.1</v>
      </c>
      <c r="BA15" s="248">
        <f>BD15+BC15+BB15</f>
        <v>43.2</v>
      </c>
      <c r="BB15" s="248">
        <v>15.4</v>
      </c>
      <c r="BC15" s="248">
        <v>34</v>
      </c>
      <c r="BD15" s="248">
        <v>-6.2</v>
      </c>
      <c r="BE15" s="238"/>
      <c r="BF15" s="84">
        <v>11.4</v>
      </c>
      <c r="BG15" s="178">
        <f>BJ15+BI15+BH15</f>
        <v>77.400000000000006</v>
      </c>
      <c r="BH15" s="84">
        <v>19.100000000000001</v>
      </c>
      <c r="BI15" s="84">
        <v>33.1</v>
      </c>
      <c r="BJ15" s="84">
        <v>25.2</v>
      </c>
      <c r="BK15" s="249"/>
      <c r="BL15" s="84">
        <v>25</v>
      </c>
      <c r="BM15" s="178">
        <f>BP15+BO15+BN13</f>
        <v>77.5</v>
      </c>
      <c r="BN15" s="134"/>
      <c r="BO15" s="84">
        <v>30.2</v>
      </c>
      <c r="BP15" s="84">
        <v>32.6</v>
      </c>
      <c r="BQ15" s="250"/>
      <c r="BR15" s="84">
        <v>32.1</v>
      </c>
      <c r="BS15" s="178">
        <f>BV13+BU15+BT13</f>
        <v>86.299999999999983</v>
      </c>
      <c r="BT15" s="134"/>
      <c r="BU15" s="84">
        <v>36.299999999999997</v>
      </c>
      <c r="BV15" s="134"/>
      <c r="BW15" s="241"/>
      <c r="BX15" s="84">
        <v>33.1</v>
      </c>
      <c r="BY15" s="178">
        <f>CB13+CA15+BZ13</f>
        <v>88.7</v>
      </c>
      <c r="BZ15" s="134"/>
      <c r="CA15" s="84">
        <v>37.700000000000003</v>
      </c>
      <c r="CB15" s="85"/>
      <c r="CC15" s="241"/>
      <c r="CD15" s="85"/>
      <c r="CE15" s="85"/>
      <c r="CF15" s="85"/>
      <c r="CG15" s="85"/>
      <c r="CH15" s="85"/>
      <c r="CI15" s="241"/>
      <c r="CJ15" s="85"/>
      <c r="CK15" s="85"/>
      <c r="CL15" s="85"/>
      <c r="CM15" s="85"/>
      <c r="CN15" s="85"/>
      <c r="CO15" s="241"/>
      <c r="CP15" s="85"/>
      <c r="CQ15" s="85"/>
      <c r="CR15" s="85"/>
      <c r="CS15" s="85"/>
      <c r="CT15" s="85"/>
      <c r="CU15" s="241"/>
      <c r="CV15" s="85"/>
      <c r="CW15" s="85">
        <f>CZ13+CY15+CX13</f>
        <v>55</v>
      </c>
      <c r="CX15" s="85"/>
      <c r="CY15" s="85">
        <v>21.3</v>
      </c>
      <c r="CZ15" s="85"/>
      <c r="DA15" s="241"/>
      <c r="DB15" s="85"/>
      <c r="DC15" s="85"/>
      <c r="DD15" s="85"/>
      <c r="DE15" s="85"/>
      <c r="DF15" s="85"/>
      <c r="DG15" s="251"/>
      <c r="DH15" s="251"/>
      <c r="DI15" s="251"/>
      <c r="DJ15" s="251"/>
      <c r="DK15" s="251"/>
      <c r="DL15" s="251"/>
    </row>
    <row r="16" spans="2:116" s="213" customFormat="1" ht="15.75" customHeight="1" x14ac:dyDescent="0.2">
      <c r="B16" s="379" t="s">
        <v>333</v>
      </c>
      <c r="C16" s="381">
        <v>6.9000000000000006E-2</v>
      </c>
      <c r="D16" s="381">
        <v>9.6000000000000002E-2</v>
      </c>
      <c r="E16" s="381">
        <v>7.6999999999999999E-2</v>
      </c>
      <c r="F16" s="381">
        <f>F15/F$7</f>
        <v>9.4676806083650186E-2</v>
      </c>
      <c r="G16" s="380">
        <f t="shared" ref="G16" si="17">G15/G$7</f>
        <v>0.11281337047353761</v>
      </c>
      <c r="H16" s="40"/>
      <c r="I16" s="381">
        <f>I15/I$7</f>
        <v>6.4792176039119798E-2</v>
      </c>
      <c r="J16" s="381">
        <f>J15/J$7</f>
        <v>0.10261036930109467</v>
      </c>
      <c r="K16" s="381">
        <f>K15/K$7</f>
        <v>8.6789554531490024E-2</v>
      </c>
      <c r="L16" s="381">
        <f>L15/L$7</f>
        <v>0.10613943808532779</v>
      </c>
      <c r="M16" s="380">
        <f t="shared" ref="M16:Q16" si="18">M15/M$7</f>
        <v>0.11323425336164189</v>
      </c>
      <c r="N16" s="40"/>
      <c r="O16" s="380">
        <f t="shared" si="18"/>
        <v>5.469422911283376E-2</v>
      </c>
      <c r="P16" s="380">
        <f t="shared" si="18"/>
        <v>9.3300786547328457E-2</v>
      </c>
      <c r="Q16" s="380">
        <f t="shared" si="18"/>
        <v>8.4289496910856146E-2</v>
      </c>
      <c r="R16" s="381">
        <f>R15/R$7</f>
        <v>9.1876654697975402E-2</v>
      </c>
      <c r="S16" s="380">
        <f>S15/S$7</f>
        <v>0.10262529832935562</v>
      </c>
      <c r="T16" s="40"/>
      <c r="U16" s="380">
        <f t="shared" ref="U16:V16" si="19">U15/U$7</f>
        <v>4.8758865248226951E-2</v>
      </c>
      <c r="V16" s="380">
        <f t="shared" si="19"/>
        <v>6.6489361702127658E-2</v>
      </c>
      <c r="W16" s="380">
        <f t="shared" ref="W16" si="20">W15/W$7</f>
        <v>-2.5058590228952585E-2</v>
      </c>
      <c r="X16" s="380">
        <f t="shared" ref="X16" si="21">X15/X$7</f>
        <v>6.5267001369237798E-2</v>
      </c>
      <c r="Y16" s="380">
        <f t="shared" ref="Y16" si="22">Y15/Y$7</f>
        <v>-0.29781659388646292</v>
      </c>
      <c r="Z16" s="380">
        <f t="shared" ref="Z16" si="23">Z15/Z$7</f>
        <v>2.6232473993668022E-2</v>
      </c>
      <c r="AA16" s="284"/>
      <c r="AB16" s="380">
        <f t="shared" ref="AB16" si="24">AB15/AB$7</f>
        <v>4.8177083333333329E-2</v>
      </c>
      <c r="AC16" s="380">
        <f t="shared" ref="AC16" si="25">AC15/AC$7</f>
        <v>7.6619161845632847E-2</v>
      </c>
      <c r="AD16" s="380">
        <f t="shared" ref="AD16" si="26">AD15/AD$7</f>
        <v>6.1560150375939843E-2</v>
      </c>
      <c r="AE16" s="380">
        <f t="shared" ref="AE16" si="27">AE15/AE$7</f>
        <v>8.527755430410297E-2</v>
      </c>
      <c r="AF16" s="380">
        <f t="shared" ref="AF16" si="28">AF15/AF$7</f>
        <v>8.087343307723413E-2</v>
      </c>
      <c r="AG16" s="244"/>
      <c r="AH16" s="380">
        <f t="shared" ref="AH16" si="29">AH15/AH$7</f>
        <v>5.6141831996623051E-2</v>
      </c>
      <c r="AI16" s="380">
        <f t="shared" ref="AI16" si="30">AI15/AI$7</f>
        <v>6.5152864351439604E-2</v>
      </c>
      <c r="AJ16" s="380">
        <f t="shared" ref="AJ16" si="31">AJ15/AJ$7</f>
        <v>6.5833733781835657E-2</v>
      </c>
      <c r="AK16" s="380">
        <f t="shared" ref="AK16" si="32">AK15/AK$7</f>
        <v>6.2224183583406888E-2</v>
      </c>
      <c r="AL16" s="380">
        <f t="shared" ref="AL16" si="33">AL15/AL$7</f>
        <v>6.7335842743621921E-2</v>
      </c>
      <c r="AM16" s="177"/>
      <c r="AN16" s="380">
        <f t="shared" ref="AN16" si="34">AN15/AN$7</f>
        <v>4.8177083333333329E-2</v>
      </c>
      <c r="AO16" s="380">
        <f t="shared" ref="AO16" si="35">AO15/AO$7</f>
        <v>7.1360479368105675E-2</v>
      </c>
      <c r="AP16" s="380">
        <f t="shared" ref="AP16" si="36">AP15/AP$7</f>
        <v>6.1560150375939843E-2</v>
      </c>
      <c r="AQ16" s="380">
        <f t="shared" ref="AQ16" si="37">AQ15/AQ$7</f>
        <v>7.5550493545937736E-2</v>
      </c>
      <c r="AR16" s="380">
        <f t="shared" ref="AR16" si="38">AR15/AR$7</f>
        <v>7.5164664858581934E-2</v>
      </c>
      <c r="AS16" s="177"/>
      <c r="AT16" s="380">
        <f t="shared" ref="AT16" si="39">AT15/AT$7</f>
        <v>4.1348855881172222E-2</v>
      </c>
      <c r="AU16" s="380">
        <f t="shared" ref="AU16" si="40">AU15/AU$7</f>
        <v>5.2122740647330815E-2</v>
      </c>
      <c r="AV16" s="380">
        <f t="shared" ref="AV16" si="41">AV15/AV$7</f>
        <v>5.4176072234762979E-2</v>
      </c>
      <c r="AW16" s="380">
        <f t="shared" ref="AW16" si="42">AW15/AW$7</f>
        <v>5.0145047658516365E-2</v>
      </c>
      <c r="AX16" s="380">
        <f t="shared" ref="AX16" si="43">AX15/AX$7</f>
        <v>5.2212036667995218E-2</v>
      </c>
      <c r="AY16" s="380"/>
      <c r="AZ16" s="380">
        <f t="shared" ref="AZ16" si="44">AZ15/AZ$7</f>
        <v>-8.5784313725490204E-3</v>
      </c>
      <c r="BA16" s="380">
        <f t="shared" ref="BA16" si="45">BA15/BA$7</f>
        <v>5.4642044017202129E-2</v>
      </c>
      <c r="BB16" s="380">
        <f t="shared" ref="BB16" si="46">BB15/BB$7</f>
        <v>6.3270336894001647E-2</v>
      </c>
      <c r="BC16" s="380">
        <f t="shared" ref="BC16" si="47">BC15/BC$7</f>
        <v>0.10876519513755598</v>
      </c>
      <c r="BD16" s="380">
        <f t="shared" ref="BD16" si="48">BD15/BD$7</f>
        <v>-2.6427962489343565E-2</v>
      </c>
      <c r="BE16" s="380"/>
      <c r="BF16" s="380">
        <f t="shared" ref="BF16" si="49">BF15/BF$7</f>
        <v>3.6320260588311754E-2</v>
      </c>
      <c r="BG16" s="380">
        <f t="shared" ref="BG16" si="50">BG15/BG$7</f>
        <v>8.2419337663720588E-2</v>
      </c>
      <c r="BH16" s="380">
        <f t="shared" ref="BH16" si="51">BH15/BH$7</f>
        <v>6.6319444444444445E-2</v>
      </c>
      <c r="BI16" s="380">
        <f t="shared" ref="BI16" si="52">BI15/BI$7</f>
        <v>9.4706723891273256E-2</v>
      </c>
      <c r="BJ16" s="380">
        <f t="shared" ref="BJ16" si="53">BJ15/BJ$7</f>
        <v>8.3554376657824919E-2</v>
      </c>
      <c r="BK16" s="380"/>
      <c r="BL16" s="380">
        <f t="shared" ref="BL16" si="54">BL15/BL$7</f>
        <v>7.8320802005012541E-2</v>
      </c>
      <c r="BM16" s="380">
        <f t="shared" ref="BM16" si="55">BM15/BM$7</f>
        <v>8.0754402417422114E-2</v>
      </c>
      <c r="BN16" s="380">
        <f t="shared" ref="BN16" si="56">BN15/BN$7</f>
        <v>0</v>
      </c>
      <c r="BO16" s="380">
        <f t="shared" ref="BO16" si="57">BO15/BO$7</f>
        <v>8.6138049058756411E-2</v>
      </c>
      <c r="BP16" s="380">
        <f t="shared" ref="BP16" si="58">BP15/BP$7</f>
        <v>0.10052420598211532</v>
      </c>
      <c r="BQ16" s="380"/>
      <c r="BR16" s="380">
        <f t="shared" ref="BR16" si="59">BR15/BR$7</f>
        <v>0.10314910025706941</v>
      </c>
      <c r="BS16" s="380">
        <f t="shared" ref="BS16" si="60">BS15/BS$7</f>
        <v>9.948126801152736E-2</v>
      </c>
      <c r="BT16" s="380">
        <f t="shared" ref="BT16" si="61">BT15/BT$7</f>
        <v>0</v>
      </c>
      <c r="BU16" s="380">
        <f t="shared" ref="BU16" si="62">BU15/BU$7</f>
        <v>0.11593740019163205</v>
      </c>
      <c r="BV16" s="380">
        <f t="shared" ref="BV16" si="63">BV15/BV$7</f>
        <v>0</v>
      </c>
      <c r="BW16" s="380"/>
      <c r="BX16" s="380">
        <f t="shared" ref="BX16" si="64">BX15/BX$7</f>
        <v>0.11834107972828031</v>
      </c>
      <c r="BY16" s="380">
        <f t="shared" ref="BY16" si="65">BY15/BY$7</f>
        <v>0.10536944642432883</v>
      </c>
      <c r="BZ16" s="380">
        <f t="shared" ref="BZ16" si="66">BZ15/BZ$7</f>
        <v>0</v>
      </c>
      <c r="CA16" s="380">
        <f t="shared" ref="CA16" si="67">CA15/CA$7</f>
        <v>0.12508294625082947</v>
      </c>
      <c r="CB16" s="380">
        <f t="shared" ref="CB16" si="68">CB15/CB$7</f>
        <v>0</v>
      </c>
      <c r="CC16" s="380"/>
      <c r="CD16" s="380">
        <f t="shared" ref="CD16" si="69">CD15/CD$7</f>
        <v>0</v>
      </c>
      <c r="CE16" s="380">
        <f t="shared" ref="CE16" si="70">CE15/CE$7</f>
        <v>0</v>
      </c>
      <c r="CF16" s="380">
        <f t="shared" ref="CF16" si="71">CF15/CF$7</f>
        <v>0</v>
      </c>
      <c r="CG16" s="380">
        <f t="shared" ref="CG16" si="72">CG15/CG$7</f>
        <v>0</v>
      </c>
      <c r="CH16" s="380">
        <f t="shared" ref="CH16" si="73">CH15/CH$7</f>
        <v>0</v>
      </c>
      <c r="CI16" s="380"/>
      <c r="CJ16" s="380">
        <f t="shared" ref="CJ16" si="74">CJ15/CJ$7</f>
        <v>0</v>
      </c>
      <c r="CK16" s="380">
        <f t="shared" ref="CK16" si="75">CK15/CK$7</f>
        <v>0</v>
      </c>
      <c r="CL16" s="380">
        <f t="shared" ref="CL16" si="76">CL15/CL$7</f>
        <v>0</v>
      </c>
      <c r="CM16" s="380">
        <f t="shared" ref="CM16" si="77">CM15/CM$7</f>
        <v>0</v>
      </c>
      <c r="CN16" s="380">
        <f t="shared" ref="CN16" si="78">CN15/CN$7</f>
        <v>0</v>
      </c>
      <c r="CO16" s="380"/>
      <c r="CP16" s="380">
        <f t="shared" ref="CP16" si="79">CP15/CP$7</f>
        <v>0</v>
      </c>
      <c r="CQ16" s="380">
        <f t="shared" ref="CQ16" si="80">CQ15/CQ$7</f>
        <v>0</v>
      </c>
      <c r="CR16" s="380">
        <f t="shared" ref="CR16" si="81">CR15/CR$7</f>
        <v>0</v>
      </c>
      <c r="CS16" s="380">
        <f t="shared" ref="CS16" si="82">CS15/CS$7</f>
        <v>0</v>
      </c>
      <c r="CT16" s="380">
        <f t="shared" ref="CT16" si="83">CT15/CT$7</f>
        <v>0</v>
      </c>
      <c r="CU16" s="380"/>
      <c r="CV16" s="380">
        <f t="shared" ref="CV16" si="84">CV15/CV$7</f>
        <v>0</v>
      </c>
      <c r="CW16" s="380">
        <f t="shared" ref="CW16" si="85">CW15/CW$7</f>
        <v>7.099522395766103E-2</v>
      </c>
      <c r="CX16" s="380">
        <f t="shared" ref="CX16" si="86">CX15/CX$7</f>
        <v>0</v>
      </c>
      <c r="CY16" s="380">
        <f t="shared" ref="CY16" si="87">CY15/CY$7</f>
        <v>7.7680525164113792E-2</v>
      </c>
      <c r="CZ16" s="380">
        <f t="shared" ref="CZ16" si="88">CZ15/CZ$7</f>
        <v>0</v>
      </c>
      <c r="DA16" s="380"/>
      <c r="DB16" s="380">
        <f t="shared" ref="DB16" si="89">DB15/DB$7</f>
        <v>0</v>
      </c>
      <c r="DC16" s="380">
        <f t="shared" ref="DC16" si="90">DC15/DC$7</f>
        <v>0</v>
      </c>
      <c r="DD16" s="380">
        <f t="shared" ref="DD16" si="91">DD15/DD$7</f>
        <v>0</v>
      </c>
      <c r="DE16" s="380">
        <f t="shared" ref="DE16" si="92">DE15/DE$7</f>
        <v>0</v>
      </c>
      <c r="DF16" s="380">
        <f t="shared" ref="DF16" si="93">DF15/DF$7</f>
        <v>0</v>
      </c>
      <c r="DG16" s="242"/>
    </row>
    <row r="17" spans="1:111" ht="15" customHeight="1" x14ac:dyDescent="0.2">
      <c r="B17" s="252"/>
      <c r="C17" s="342"/>
      <c r="D17" s="252"/>
      <c r="E17" s="252"/>
      <c r="F17" s="252"/>
      <c r="G17" s="342"/>
      <c r="I17" s="252"/>
      <c r="J17" s="342"/>
      <c r="K17" s="342"/>
      <c r="L17" s="252"/>
      <c r="M17" s="342"/>
      <c r="O17" s="342"/>
      <c r="P17" s="342"/>
      <c r="Q17" s="342"/>
      <c r="R17" s="252"/>
      <c r="S17" s="342"/>
      <c r="U17" s="341"/>
      <c r="V17" s="341"/>
      <c r="W17" s="342"/>
      <c r="X17" s="342"/>
      <c r="Y17" s="342"/>
      <c r="Z17" s="342"/>
      <c r="AB17" s="343"/>
      <c r="AC17" s="342"/>
      <c r="AD17" s="342"/>
      <c r="AE17" s="342"/>
      <c r="AF17" s="342"/>
      <c r="AH17" s="341"/>
      <c r="AI17" s="342"/>
      <c r="AJ17" s="342"/>
      <c r="AK17" s="342"/>
      <c r="AL17" s="342"/>
      <c r="AM17" s="83"/>
      <c r="AN17" s="254"/>
      <c r="AO17" s="253"/>
      <c r="AP17" s="253"/>
      <c r="AQ17" s="253"/>
      <c r="AR17" s="253"/>
      <c r="AS17" s="83"/>
      <c r="AT17" s="253"/>
      <c r="AU17" s="253"/>
      <c r="AV17" s="253"/>
      <c r="AW17" s="253"/>
      <c r="AX17" s="253"/>
      <c r="AZ17" s="252"/>
      <c r="BA17" s="252"/>
      <c r="BB17" s="252"/>
      <c r="BC17" s="255"/>
      <c r="BD17" s="255"/>
      <c r="BF17" s="255"/>
      <c r="BG17" s="255"/>
      <c r="BH17" s="255"/>
      <c r="BI17" s="255"/>
      <c r="BJ17" s="255"/>
      <c r="BL17" s="253"/>
      <c r="BM17" s="253"/>
      <c r="BN17" s="253"/>
      <c r="BO17" s="253"/>
      <c r="BP17" s="253"/>
      <c r="BR17" s="253"/>
      <c r="BS17" s="253"/>
      <c r="BT17" s="253"/>
      <c r="BU17" s="253"/>
      <c r="BV17" s="253"/>
      <c r="BX17" s="253"/>
      <c r="BY17" s="253"/>
      <c r="BZ17" s="253"/>
      <c r="CA17" s="253"/>
      <c r="CB17" s="253"/>
      <c r="CD17" s="253"/>
      <c r="CE17" s="253"/>
      <c r="CF17" s="253"/>
      <c r="CG17" s="253"/>
      <c r="CH17" s="253"/>
      <c r="CJ17" s="253"/>
      <c r="CK17" s="253"/>
      <c r="CL17" s="253"/>
      <c r="CM17" s="253"/>
      <c r="CN17" s="253"/>
      <c r="CP17" s="253"/>
      <c r="CQ17" s="253"/>
      <c r="CR17" s="253"/>
      <c r="CS17" s="253"/>
      <c r="CT17" s="253"/>
      <c r="CV17" s="253"/>
      <c r="CW17" s="253"/>
      <c r="CX17" s="253"/>
      <c r="CY17" s="253"/>
      <c r="CZ17" s="253"/>
      <c r="DB17" s="253"/>
      <c r="DC17" s="253"/>
      <c r="DD17" s="253"/>
      <c r="DE17" s="253"/>
      <c r="DF17" s="253"/>
    </row>
    <row r="18" spans="1:111" x14ac:dyDescent="0.2">
      <c r="F18" s="9"/>
      <c r="G18" s="9"/>
    </row>
    <row r="19" spans="1:111" x14ac:dyDescent="0.2">
      <c r="B19" s="39" t="s">
        <v>21</v>
      </c>
      <c r="C19" s="39"/>
      <c r="D19" s="30">
        <v>96</v>
      </c>
      <c r="E19" s="39"/>
      <c r="G19" s="337">
        <v>112.4</v>
      </c>
      <c r="I19" s="337"/>
      <c r="J19" s="74">
        <v>115.4</v>
      </c>
      <c r="K19"/>
      <c r="L19"/>
      <c r="M19" s="337">
        <v>109.1</v>
      </c>
      <c r="N19"/>
      <c r="O19" s="337"/>
      <c r="P19" s="337">
        <v>228.3</v>
      </c>
      <c r="Q19" s="337"/>
      <c r="R19"/>
      <c r="S19">
        <v>223.9</v>
      </c>
      <c r="T19"/>
      <c r="U19" s="225"/>
      <c r="W19" s="337">
        <v>201.7</v>
      </c>
      <c r="Z19" s="337">
        <v>135.5</v>
      </c>
      <c r="AA19" s="337"/>
      <c r="AB19" s="30"/>
      <c r="AC19" s="337">
        <v>74.2</v>
      </c>
      <c r="AF19" s="337">
        <v>105.7</v>
      </c>
    </row>
    <row r="20" spans="1:111" ht="15" customHeight="1" x14ac:dyDescent="0.2">
      <c r="B20" s="252"/>
      <c r="C20" s="252"/>
      <c r="D20" s="252"/>
      <c r="E20" s="252"/>
      <c r="F20" s="252"/>
      <c r="G20" s="342"/>
      <c r="I20" s="342"/>
      <c r="J20" s="342"/>
      <c r="K20" s="342"/>
      <c r="L20" s="252"/>
      <c r="M20" s="342"/>
      <c r="O20" s="342"/>
      <c r="P20" s="342"/>
      <c r="Q20" s="342"/>
      <c r="R20" s="252"/>
      <c r="S20" s="342"/>
      <c r="U20" s="341"/>
      <c r="V20" s="341"/>
      <c r="W20" s="342"/>
      <c r="X20" s="342"/>
      <c r="Y20" s="342"/>
      <c r="Z20" s="342"/>
      <c r="AB20" s="343"/>
      <c r="AC20" s="342"/>
      <c r="AD20" s="342"/>
      <c r="AE20" s="342"/>
      <c r="AF20" s="342"/>
      <c r="AH20" s="341"/>
      <c r="AI20" s="342"/>
      <c r="AJ20" s="342"/>
      <c r="AK20" s="342"/>
      <c r="AL20" s="342"/>
      <c r="AM20" s="83"/>
      <c r="AN20" s="254"/>
      <c r="AO20" s="253"/>
      <c r="AP20" s="253"/>
      <c r="AQ20" s="253"/>
      <c r="AR20" s="253"/>
      <c r="AS20" s="83"/>
      <c r="AT20" s="253"/>
      <c r="AU20" s="253"/>
      <c r="AV20" s="253"/>
      <c r="AW20" s="253"/>
      <c r="AX20" s="253"/>
      <c r="AZ20" s="252"/>
      <c r="BA20" s="252"/>
      <c r="BB20" s="252"/>
      <c r="BC20" s="255"/>
      <c r="BD20" s="255"/>
      <c r="BF20" s="255"/>
      <c r="BG20" s="255"/>
      <c r="BH20" s="255"/>
      <c r="BI20" s="255"/>
      <c r="BJ20" s="255"/>
      <c r="BL20" s="253"/>
      <c r="BM20" s="253"/>
      <c r="BN20" s="253"/>
      <c r="BO20" s="253"/>
      <c r="BP20" s="253"/>
      <c r="BR20" s="253"/>
      <c r="BS20" s="253"/>
      <c r="BT20" s="253"/>
      <c r="BU20" s="253"/>
      <c r="BV20" s="253"/>
      <c r="BX20" s="253"/>
      <c r="BY20" s="253"/>
      <c r="BZ20" s="253"/>
      <c r="CA20" s="253"/>
      <c r="CB20" s="253"/>
      <c r="CD20" s="253"/>
      <c r="CE20" s="253"/>
      <c r="CF20" s="253"/>
      <c r="CG20" s="253"/>
      <c r="CH20" s="253"/>
      <c r="CJ20" s="253"/>
      <c r="CK20" s="253"/>
      <c r="CL20" s="253"/>
      <c r="CM20" s="253"/>
      <c r="CN20" s="253"/>
      <c r="CP20" s="253"/>
      <c r="CQ20" s="253"/>
      <c r="CR20" s="253"/>
      <c r="CS20" s="253"/>
      <c r="CT20" s="253"/>
      <c r="CV20" s="253"/>
      <c r="CW20" s="253"/>
      <c r="CX20" s="253"/>
      <c r="CY20" s="253"/>
      <c r="CZ20" s="253"/>
      <c r="DB20" s="253"/>
      <c r="DC20" s="253"/>
      <c r="DD20" s="253"/>
      <c r="DE20" s="253"/>
      <c r="DF20" s="253"/>
    </row>
    <row r="22" spans="1:111" x14ac:dyDescent="0.2">
      <c r="A22" s="256"/>
      <c r="B22" s="257"/>
      <c r="C22" s="446"/>
      <c r="D22" s="439"/>
      <c r="E22" s="439"/>
      <c r="F22" s="436"/>
      <c r="G22" s="436"/>
      <c r="H22" s="375"/>
      <c r="I22" s="375"/>
      <c r="J22" s="375"/>
      <c r="K22" s="375"/>
      <c r="L22" s="375"/>
      <c r="M22" s="375"/>
      <c r="N22" s="375"/>
      <c r="O22" s="375"/>
      <c r="P22" s="375"/>
      <c r="Q22" s="375"/>
      <c r="R22" s="375"/>
      <c r="S22" s="369"/>
      <c r="T22" s="375"/>
      <c r="U22" s="392"/>
      <c r="V22" s="344"/>
      <c r="W22" s="344"/>
      <c r="X22" s="344"/>
      <c r="Y22" s="344"/>
      <c r="Z22" s="344"/>
      <c r="AA22" s="344"/>
      <c r="AB22" s="344"/>
      <c r="AC22" s="344"/>
      <c r="AD22" s="344"/>
      <c r="AE22" s="344"/>
      <c r="AF22" s="344"/>
      <c r="AG22" s="344"/>
      <c r="AH22" s="344"/>
      <c r="AI22" s="344"/>
      <c r="AJ22" s="344"/>
      <c r="AK22" s="345"/>
      <c r="AL22" s="345"/>
      <c r="AM22" s="208"/>
      <c r="AN22" s="208"/>
      <c r="AO22" s="208"/>
      <c r="AP22" s="208"/>
      <c r="AQ22" s="208"/>
      <c r="AR22" s="208"/>
      <c r="AS22" s="208"/>
      <c r="AT22" s="208"/>
      <c r="AU22" s="208"/>
      <c r="AV22" s="208"/>
      <c r="AW22" s="208"/>
      <c r="AX22" s="208"/>
      <c r="AY22" s="208"/>
      <c r="AZ22" s="208"/>
      <c r="BA22" s="208"/>
      <c r="BB22" s="208"/>
      <c r="BC22" s="209"/>
      <c r="BD22" s="209"/>
      <c r="BE22" s="209"/>
      <c r="BF22" s="209"/>
      <c r="BG22" s="209"/>
      <c r="BH22" s="209"/>
      <c r="BI22" s="209"/>
      <c r="BJ22" s="209"/>
      <c r="BR22" s="91"/>
      <c r="BU22" s="91"/>
      <c r="BX22" s="91"/>
      <c r="CA22" s="91"/>
      <c r="CW22" s="91"/>
      <c r="CY22" s="91"/>
    </row>
    <row r="23" spans="1:111" ht="21" customHeight="1" x14ac:dyDescent="0.2">
      <c r="A23" s="20" t="s">
        <v>344</v>
      </c>
      <c r="B23" s="451" t="s">
        <v>351</v>
      </c>
      <c r="C23" s="451"/>
      <c r="D23" s="451"/>
      <c r="E23" s="451"/>
      <c r="F23" s="451"/>
      <c r="G23" s="451"/>
      <c r="H23" s="451"/>
      <c r="I23" s="451"/>
      <c r="J23" s="451"/>
      <c r="K23" s="451"/>
      <c r="L23" s="451"/>
      <c r="M23" s="451"/>
      <c r="N23" s="451"/>
      <c r="O23" s="451"/>
      <c r="P23" s="451"/>
      <c r="Q23" s="452"/>
      <c r="R23" s="452"/>
      <c r="S23" s="452"/>
      <c r="T23" s="452"/>
      <c r="U23" s="452"/>
      <c r="V23" s="452"/>
      <c r="W23" s="453"/>
      <c r="X23" s="453"/>
      <c r="Y23" s="453"/>
      <c r="AE23" s="58"/>
      <c r="AF23" s="58"/>
      <c r="AG23" s="58"/>
      <c r="AH23" s="58"/>
      <c r="AI23" s="58"/>
      <c r="AJ23" s="73"/>
      <c r="AK23" s="65"/>
      <c r="AL23" s="184"/>
      <c r="AM23" s="184"/>
      <c r="AN23" s="184"/>
      <c r="AO23"/>
      <c r="AP23"/>
      <c r="AQ23"/>
      <c r="AR23"/>
      <c r="AS23"/>
      <c r="AT23"/>
      <c r="AU23"/>
      <c r="AV23"/>
      <c r="AW23"/>
      <c r="AX23"/>
      <c r="AY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19" customFormat="1" ht="27.75" customHeight="1" x14ac:dyDescent="0.2">
      <c r="A24" s="20" t="s">
        <v>39</v>
      </c>
      <c r="B24" s="451" t="s">
        <v>329</v>
      </c>
      <c r="C24" s="451"/>
      <c r="D24" s="451"/>
      <c r="E24" s="451"/>
      <c r="F24" s="451"/>
      <c r="G24" s="451"/>
      <c r="H24" s="451"/>
      <c r="I24" s="451"/>
      <c r="J24" s="451"/>
      <c r="K24" s="451"/>
      <c r="L24" s="451"/>
      <c r="M24" s="451"/>
      <c r="N24" s="451"/>
      <c r="O24" s="451"/>
      <c r="P24" s="451"/>
      <c r="Q24" s="451"/>
      <c r="R24" s="451"/>
      <c r="S24" s="451"/>
      <c r="T24" s="451"/>
      <c r="U24" s="451"/>
      <c r="V24" s="451"/>
      <c r="W24" s="452"/>
      <c r="X24" s="452"/>
      <c r="Y24" s="452"/>
      <c r="Z24" s="452"/>
      <c r="AA24" s="452"/>
      <c r="AB24" s="453"/>
      <c r="AC24" s="453"/>
      <c r="AD24" s="453"/>
      <c r="AE24" s="26"/>
      <c r="AF24" s="26"/>
      <c r="AG24" s="26"/>
      <c r="AH24" s="26"/>
      <c r="AI24" s="26"/>
      <c r="AJ24" s="26"/>
      <c r="AK24" s="26"/>
    </row>
    <row r="25" spans="1:111" s="19" customFormat="1" ht="25.5" customHeight="1" x14ac:dyDescent="0.2">
      <c r="A25" s="312" t="s">
        <v>11</v>
      </c>
      <c r="B25" s="451" t="s">
        <v>328</v>
      </c>
      <c r="C25" s="451"/>
      <c r="D25" s="451"/>
      <c r="E25" s="451"/>
      <c r="F25" s="451"/>
      <c r="G25" s="451"/>
      <c r="H25" s="451"/>
      <c r="I25" s="451"/>
      <c r="J25" s="451"/>
      <c r="K25" s="451"/>
      <c r="L25" s="451"/>
      <c r="M25" s="451"/>
      <c r="N25" s="451"/>
      <c r="O25" s="451"/>
      <c r="P25" s="451"/>
      <c r="Q25" s="451"/>
      <c r="R25" s="451"/>
      <c r="S25" s="451"/>
      <c r="T25" s="451"/>
      <c r="U25" s="451"/>
      <c r="V25" s="451"/>
      <c r="W25" s="452"/>
      <c r="X25" s="452"/>
      <c r="Y25" s="452"/>
      <c r="Z25" s="452"/>
      <c r="AA25" s="452"/>
      <c r="AB25" s="453"/>
      <c r="AC25" s="453"/>
      <c r="AD25" s="453"/>
      <c r="AE25" s="26"/>
      <c r="AF25" s="26"/>
      <c r="AG25" s="26"/>
      <c r="AH25" s="26"/>
      <c r="AI25" s="26"/>
      <c r="AJ25" s="26"/>
      <c r="AK25" s="26"/>
    </row>
    <row r="26" spans="1:111" s="19" customFormat="1" ht="9" customHeight="1" x14ac:dyDescent="0.2">
      <c r="A26" s="386"/>
      <c r="B26" s="384"/>
      <c r="C26" s="441"/>
      <c r="D26" s="438"/>
      <c r="E26" s="438"/>
      <c r="F26" s="435"/>
      <c r="G26" s="435"/>
      <c r="H26" s="384"/>
      <c r="I26" s="433"/>
      <c r="J26" s="422"/>
      <c r="K26" s="422"/>
      <c r="L26" s="421"/>
      <c r="M26" s="390"/>
      <c r="N26" s="390"/>
      <c r="O26" s="384"/>
      <c r="P26" s="384"/>
      <c r="Q26" s="384"/>
      <c r="R26" s="384"/>
      <c r="S26" s="384"/>
      <c r="T26" s="384"/>
      <c r="U26" s="393"/>
      <c r="V26" s="384"/>
      <c r="W26" s="385"/>
      <c r="X26" s="385"/>
      <c r="Y26" s="385"/>
      <c r="Z26" s="385"/>
      <c r="AA26" s="385"/>
      <c r="AB26" s="386"/>
      <c r="AC26" s="386"/>
      <c r="AD26" s="386"/>
      <c r="AE26" s="26"/>
      <c r="AF26" s="26"/>
      <c r="AG26" s="26"/>
      <c r="AH26" s="26"/>
      <c r="AI26" s="26"/>
      <c r="AJ26" s="26"/>
      <c r="AK26" s="26"/>
    </row>
    <row r="27" spans="1:111" x14ac:dyDescent="0.2">
      <c r="A27" s="386" t="s">
        <v>9</v>
      </c>
      <c r="B27" s="459" t="s">
        <v>257</v>
      </c>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48"/>
      <c r="AL27" s="448"/>
      <c r="AM27" s="448"/>
      <c r="AN27" s="448"/>
      <c r="AO27" s="448"/>
      <c r="AP27" s="448"/>
      <c r="AQ27" s="448"/>
      <c r="AR27" s="448"/>
      <c r="AS27" s="448"/>
      <c r="AT27" s="448"/>
      <c r="AU27" s="448"/>
      <c r="AV27" s="448"/>
      <c r="AW27" s="448"/>
      <c r="AX27" s="448"/>
      <c r="AY27" s="448"/>
      <c r="AZ27" s="448"/>
      <c r="BA27" s="448"/>
      <c r="BB27" s="448"/>
      <c r="BC27" s="456"/>
      <c r="BD27" s="456"/>
      <c r="BE27" s="456"/>
      <c r="BF27" s="456"/>
      <c r="BG27" s="456"/>
      <c r="BH27" s="456"/>
      <c r="BI27" s="456"/>
      <c r="BJ27" s="456"/>
    </row>
    <row r="28" spans="1:111" ht="20.25" customHeight="1" x14ac:dyDescent="0.2">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48"/>
      <c r="AL28" s="448"/>
      <c r="AM28" s="448"/>
      <c r="AN28" s="448"/>
      <c r="AO28" s="448"/>
      <c r="AP28" s="448"/>
      <c r="AQ28" s="448"/>
      <c r="AR28" s="448"/>
      <c r="AS28" s="448"/>
      <c r="AT28" s="448"/>
      <c r="AU28" s="448"/>
      <c r="AV28" s="448"/>
      <c r="AW28" s="448"/>
      <c r="AX28" s="448"/>
      <c r="AY28" s="448"/>
      <c r="AZ28" s="448"/>
      <c r="BA28" s="448"/>
      <c r="BB28" s="448"/>
      <c r="BC28" s="456"/>
      <c r="BD28" s="456"/>
      <c r="BE28" s="456"/>
      <c r="BF28" s="456"/>
      <c r="BG28" s="456"/>
      <c r="BH28" s="456"/>
      <c r="BI28" s="456"/>
      <c r="BJ28" s="456"/>
    </row>
    <row r="29" spans="1:111" ht="20.25" customHeight="1" x14ac:dyDescent="0.2">
      <c r="A29" s="423" t="s">
        <v>258</v>
      </c>
      <c r="B29" s="458" t="s">
        <v>397</v>
      </c>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row>
    <row r="30" spans="1:111" ht="20.25" customHeight="1" x14ac:dyDescent="0.2">
      <c r="B30" s="458" t="s">
        <v>375</v>
      </c>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row>
    <row r="31" spans="1:111" ht="20.25" customHeight="1" x14ac:dyDescent="0.2">
      <c r="B31" s="458" t="s">
        <v>370</v>
      </c>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row>
    <row r="32" spans="1:111" ht="20.25" customHeight="1" x14ac:dyDescent="0.2">
      <c r="B32" s="458" t="s">
        <v>371</v>
      </c>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row>
    <row r="33" spans="1:62" ht="20.25" customHeight="1" x14ac:dyDescent="0.2">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3"/>
      <c r="AL33" s="443"/>
      <c r="AM33" s="443"/>
      <c r="AN33" s="443"/>
      <c r="AO33" s="443"/>
      <c r="AP33" s="443"/>
      <c r="AQ33" s="443"/>
      <c r="AR33" s="443"/>
      <c r="AS33" s="443"/>
      <c r="AT33" s="443"/>
      <c r="AU33" s="443"/>
      <c r="AV33" s="443"/>
      <c r="AW33" s="443"/>
      <c r="AX33" s="443"/>
      <c r="AY33" s="443"/>
      <c r="AZ33" s="443"/>
      <c r="BA33" s="443"/>
      <c r="BB33" s="443"/>
      <c r="BC33" s="444"/>
      <c r="BD33" s="444"/>
      <c r="BE33" s="444"/>
      <c r="BF33" s="444"/>
      <c r="BG33" s="444"/>
      <c r="BH33" s="444"/>
      <c r="BI33" s="444"/>
      <c r="BJ33" s="444"/>
    </row>
    <row r="34" spans="1:62" ht="20.25" customHeight="1" x14ac:dyDescent="0.2">
      <c r="B34" s="458" t="s">
        <v>363</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row>
    <row r="35" spans="1:62" ht="20.25" customHeight="1" x14ac:dyDescent="0.2">
      <c r="A35" s="434"/>
      <c r="B35" s="458" t="s">
        <v>361</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row>
    <row r="36" spans="1:62" ht="20.25" customHeight="1" x14ac:dyDescent="0.2">
      <c r="A36" s="368"/>
      <c r="B36" s="458" t="s">
        <v>360</v>
      </c>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row>
    <row r="37" spans="1:62" ht="20.25" customHeight="1" x14ac:dyDescent="0.2">
      <c r="B37" s="458" t="s">
        <v>353</v>
      </c>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row>
    <row r="38" spans="1:62" ht="18.75" customHeight="1" x14ac:dyDescent="0.2">
      <c r="A38" s="15"/>
      <c r="B38" s="445"/>
      <c r="C38" s="445"/>
      <c r="D38" s="445"/>
      <c r="E38" s="445"/>
      <c r="F38" s="445"/>
      <c r="G38" s="445"/>
      <c r="H38" s="445"/>
      <c r="I38" s="445"/>
      <c r="J38" s="445"/>
      <c r="K38" s="445"/>
      <c r="L38" s="445"/>
      <c r="M38" s="445"/>
      <c r="N38" s="445"/>
      <c r="O38" s="445"/>
      <c r="P38" s="445"/>
      <c r="Q38" s="445"/>
      <c r="R38" s="445"/>
      <c r="S38" s="445"/>
      <c r="T38" s="445"/>
      <c r="U38" s="346"/>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row>
    <row r="39" spans="1:62" ht="20.25" customHeight="1" x14ac:dyDescent="0.2">
      <c r="B39" s="458" t="s">
        <v>345</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row>
    <row r="40" spans="1:62" ht="18.75" customHeight="1" x14ac:dyDescent="0.2">
      <c r="B40" s="458" t="s">
        <v>340</v>
      </c>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row>
    <row r="41" spans="1:62" ht="18.75" customHeight="1" x14ac:dyDescent="0.2">
      <c r="A41" s="15"/>
      <c r="B41" s="458" t="s">
        <v>338</v>
      </c>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row>
    <row r="42" spans="1:62" ht="12.75" customHeight="1" x14ac:dyDescent="0.2">
      <c r="A42" s="15"/>
      <c r="B42" s="458" t="s">
        <v>339</v>
      </c>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row>
    <row r="43" spans="1:62" ht="18.75" customHeight="1" x14ac:dyDescent="0.2">
      <c r="A43" s="15"/>
      <c r="B43" s="445"/>
      <c r="C43" s="445"/>
      <c r="D43" s="445"/>
      <c r="E43" s="445"/>
      <c r="F43" s="445"/>
      <c r="G43" s="445"/>
      <c r="H43" s="445"/>
      <c r="I43" s="445"/>
      <c r="J43" s="445"/>
      <c r="K43" s="445"/>
      <c r="L43" s="445"/>
      <c r="M43" s="445"/>
      <c r="N43" s="445"/>
      <c r="O43" s="445"/>
      <c r="P43" s="445"/>
      <c r="Q43" s="445"/>
      <c r="R43" s="445"/>
      <c r="S43" s="445"/>
      <c r="T43" s="445"/>
      <c r="U43" s="346"/>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row>
    <row r="44" spans="1:62" ht="18.75" customHeight="1" x14ac:dyDescent="0.2">
      <c r="B44" s="458" t="s">
        <v>315</v>
      </c>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row>
    <row r="45" spans="1:62" ht="18.75" customHeight="1" x14ac:dyDescent="0.2">
      <c r="B45" s="458" t="s">
        <v>259</v>
      </c>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row>
    <row r="46" spans="1:62" ht="18.75" customHeight="1" x14ac:dyDescent="0.2">
      <c r="A46" s="15"/>
      <c r="B46" s="458" t="s">
        <v>260</v>
      </c>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row>
    <row r="47" spans="1:62" ht="18.75" customHeight="1" x14ac:dyDescent="0.2">
      <c r="A47" s="15"/>
      <c r="B47" s="458" t="s">
        <v>332</v>
      </c>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row>
    <row r="48" spans="1:62" ht="18.75" customHeight="1" x14ac:dyDescent="0.2">
      <c r="A48" s="15"/>
      <c r="B48" s="445"/>
      <c r="C48" s="445"/>
      <c r="D48" s="445"/>
      <c r="E48" s="445"/>
      <c r="F48" s="445"/>
      <c r="G48" s="445"/>
      <c r="H48" s="376"/>
      <c r="I48" s="376"/>
      <c r="J48" s="376"/>
      <c r="K48" s="376"/>
      <c r="L48" s="376"/>
      <c r="M48" s="376"/>
      <c r="N48" s="376"/>
      <c r="O48" s="376"/>
      <c r="P48" s="376"/>
      <c r="Q48" s="376"/>
      <c r="R48" s="376"/>
      <c r="S48" s="445"/>
      <c r="T48" s="376"/>
      <c r="U48" s="349"/>
      <c r="V48" s="346"/>
      <c r="W48" s="347"/>
      <c r="X48" s="347"/>
      <c r="Y48" s="347"/>
      <c r="Z48" s="347"/>
      <c r="AA48" s="348"/>
      <c r="AB48" s="347"/>
      <c r="AC48" s="347"/>
      <c r="AD48" s="347"/>
      <c r="AE48" s="347"/>
      <c r="AF48" s="347"/>
      <c r="AG48" s="349"/>
      <c r="AH48" s="346"/>
      <c r="AI48" s="347"/>
      <c r="AJ48" s="347"/>
      <c r="AK48" s="350"/>
      <c r="AL48" s="350"/>
      <c r="AM48" s="258"/>
      <c r="AN48" s="258"/>
      <c r="AO48" s="258"/>
      <c r="AP48" s="258"/>
      <c r="AQ48" s="258"/>
      <c r="AR48" s="258"/>
      <c r="AS48" s="258"/>
      <c r="AT48" s="258"/>
      <c r="AU48" s="258"/>
      <c r="AV48" s="258"/>
      <c r="AW48" s="258"/>
      <c r="AX48" s="258"/>
      <c r="AY48" s="259"/>
      <c r="AZ48" s="443"/>
      <c r="BA48" s="443"/>
      <c r="BB48" s="443"/>
      <c r="BC48" s="444"/>
      <c r="BD48" s="444"/>
      <c r="BE48" s="260"/>
      <c r="BF48" s="444"/>
      <c r="BG48" s="444"/>
      <c r="BH48" s="444"/>
      <c r="BI48" s="444"/>
      <c r="BJ48" s="444"/>
    </row>
    <row r="49" spans="1:65" ht="18" customHeight="1" x14ac:dyDescent="0.2">
      <c r="A49" s="15"/>
      <c r="B49" s="458" t="s">
        <v>261</v>
      </c>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8"/>
      <c r="BD49" s="458"/>
      <c r="BE49" s="458"/>
      <c r="BF49" s="458"/>
      <c r="BG49" s="458"/>
      <c r="BH49" s="458"/>
      <c r="BI49" s="458"/>
      <c r="BJ49" s="458"/>
    </row>
    <row r="50" spans="1:65" ht="18.75" customHeight="1" x14ac:dyDescent="0.2">
      <c r="B50" s="458" t="s">
        <v>262</v>
      </c>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8"/>
      <c r="BB50" s="458"/>
      <c r="BC50" s="458"/>
      <c r="BD50" s="458"/>
      <c r="BE50" s="458"/>
      <c r="BF50" s="458"/>
      <c r="BG50" s="458"/>
      <c r="BH50" s="458"/>
      <c r="BI50" s="458"/>
      <c r="BJ50" s="458"/>
    </row>
    <row r="51" spans="1:65" ht="18.75" customHeight="1" x14ac:dyDescent="0.2">
      <c r="A51" s="15"/>
      <c r="B51" s="458" t="s">
        <v>263</v>
      </c>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8"/>
      <c r="AY51" s="458"/>
      <c r="AZ51" s="458"/>
      <c r="BA51" s="458"/>
      <c r="BB51" s="458"/>
      <c r="BC51" s="458"/>
      <c r="BD51" s="458"/>
      <c r="BE51" s="458"/>
      <c r="BF51" s="458"/>
      <c r="BG51" s="458"/>
      <c r="BH51" s="458"/>
      <c r="BI51" s="458"/>
      <c r="BJ51" s="458"/>
    </row>
    <row r="52" spans="1:65" ht="18.75" customHeight="1" x14ac:dyDescent="0.2">
      <c r="A52" s="15"/>
      <c r="B52" s="458" t="s">
        <v>264</v>
      </c>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row>
    <row r="53" spans="1:65" ht="18.75" customHeight="1" x14ac:dyDescent="0.2">
      <c r="A53" s="15"/>
      <c r="B53" s="445"/>
      <c r="C53" s="445"/>
      <c r="D53" s="445"/>
      <c r="E53" s="445"/>
      <c r="F53" s="445"/>
      <c r="G53" s="445"/>
      <c r="H53" s="376"/>
      <c r="I53" s="376"/>
      <c r="J53" s="376"/>
      <c r="K53" s="376"/>
      <c r="L53" s="376"/>
      <c r="M53" s="376"/>
      <c r="N53" s="376"/>
      <c r="O53" s="376"/>
      <c r="P53" s="376"/>
      <c r="Q53" s="376"/>
      <c r="R53" s="376"/>
      <c r="S53" s="445"/>
      <c r="T53" s="376"/>
      <c r="U53" s="349"/>
      <c r="V53" s="346"/>
      <c r="W53" s="347"/>
      <c r="X53" s="347"/>
      <c r="Y53" s="347"/>
      <c r="Z53" s="347"/>
      <c r="AA53" s="348"/>
      <c r="AB53" s="347"/>
      <c r="AC53" s="347"/>
      <c r="AD53" s="347"/>
      <c r="AE53" s="347"/>
      <c r="AF53" s="347"/>
      <c r="AG53" s="349"/>
      <c r="AH53" s="346"/>
      <c r="AI53" s="347"/>
      <c r="AJ53" s="347"/>
      <c r="AK53" s="350"/>
      <c r="AL53" s="350"/>
      <c r="AM53" s="258"/>
      <c r="AN53" s="258"/>
      <c r="AO53" s="258"/>
      <c r="AP53" s="258"/>
      <c r="AQ53" s="258"/>
      <c r="AR53" s="258"/>
      <c r="AS53" s="258"/>
      <c r="AT53" s="258"/>
      <c r="AU53" s="258"/>
      <c r="AV53" s="258"/>
      <c r="AW53" s="258"/>
      <c r="AX53" s="258"/>
      <c r="AY53" s="259"/>
      <c r="AZ53" s="443"/>
      <c r="BA53" s="443"/>
      <c r="BB53" s="443"/>
      <c r="BC53" s="444"/>
      <c r="BD53" s="444"/>
      <c r="BE53" s="260"/>
      <c r="BF53" s="444"/>
      <c r="BG53" s="444"/>
      <c r="BH53" s="444"/>
      <c r="BI53" s="444"/>
      <c r="BJ53" s="444"/>
    </row>
    <row r="54" spans="1:65" ht="18" customHeight="1" x14ac:dyDescent="0.2">
      <c r="B54" s="458" t="s">
        <v>265</v>
      </c>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8"/>
      <c r="BD54" s="458"/>
      <c r="BE54" s="458"/>
      <c r="BF54" s="458"/>
      <c r="BG54" s="458"/>
      <c r="BH54" s="458"/>
      <c r="BI54" s="458"/>
      <c r="BJ54" s="458"/>
    </row>
    <row r="55" spans="1:65" ht="18.75" customHeight="1" x14ac:dyDescent="0.2">
      <c r="B55" s="458" t="s">
        <v>266</v>
      </c>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458"/>
      <c r="BJ55" s="458"/>
    </row>
    <row r="56" spans="1:65" ht="18.75" customHeight="1" x14ac:dyDescent="0.2">
      <c r="A56" s="15"/>
      <c r="B56" s="458" t="s">
        <v>267</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8"/>
      <c r="AZ56" s="458"/>
      <c r="BA56" s="458"/>
      <c r="BB56" s="458"/>
      <c r="BC56" s="458"/>
      <c r="BD56" s="458"/>
      <c r="BE56" s="458"/>
      <c r="BF56" s="458"/>
      <c r="BG56" s="458"/>
      <c r="BH56" s="458"/>
      <c r="BI56" s="458"/>
      <c r="BJ56" s="458"/>
    </row>
    <row r="57" spans="1:65" ht="18.75" customHeight="1" x14ac:dyDescent="0.2">
      <c r="A57" s="15"/>
      <c r="B57" s="458" t="s">
        <v>268</v>
      </c>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8"/>
      <c r="BH57" s="458"/>
      <c r="BI57" s="458"/>
      <c r="BJ57" s="458"/>
    </row>
    <row r="58" spans="1:65" ht="18.75" customHeight="1" x14ac:dyDescent="0.2">
      <c r="A58" s="15"/>
      <c r="B58" s="445"/>
      <c r="C58" s="445"/>
      <c r="D58" s="445"/>
      <c r="E58" s="445"/>
      <c r="F58" s="445"/>
      <c r="G58" s="445"/>
      <c r="H58" s="376"/>
      <c r="I58" s="376"/>
      <c r="J58" s="376"/>
      <c r="K58" s="376"/>
      <c r="L58" s="376"/>
      <c r="M58" s="376"/>
      <c r="N58" s="376"/>
      <c r="O58" s="376"/>
      <c r="P58" s="376"/>
      <c r="Q58" s="376"/>
      <c r="R58" s="376"/>
      <c r="S58" s="445"/>
      <c r="T58" s="376"/>
      <c r="U58" s="349"/>
      <c r="V58" s="346"/>
      <c r="W58" s="347"/>
      <c r="X58" s="347"/>
      <c r="Y58" s="347"/>
      <c r="Z58" s="347"/>
      <c r="AA58" s="348"/>
      <c r="AB58" s="347"/>
      <c r="AC58" s="347"/>
      <c r="AD58" s="347"/>
      <c r="AE58" s="347"/>
      <c r="AF58" s="347"/>
      <c r="AG58" s="349"/>
      <c r="AH58" s="346"/>
      <c r="AI58" s="347"/>
      <c r="AJ58" s="347"/>
      <c r="AK58" s="350"/>
      <c r="AL58" s="350"/>
      <c r="AM58" s="258"/>
      <c r="AN58" s="258"/>
      <c r="AO58" s="258"/>
      <c r="AP58" s="258"/>
      <c r="AQ58" s="258"/>
      <c r="AR58" s="258"/>
      <c r="AS58" s="258"/>
      <c r="AT58" s="258"/>
      <c r="AU58" s="258"/>
      <c r="AV58" s="258"/>
      <c r="AW58" s="258"/>
      <c r="AX58" s="258"/>
      <c r="AY58" s="259"/>
      <c r="AZ58" s="443"/>
      <c r="BA58" s="443"/>
      <c r="BB58" s="443"/>
      <c r="BC58" s="444"/>
      <c r="BD58" s="444"/>
      <c r="BE58" s="260"/>
      <c r="BF58" s="444"/>
      <c r="BG58" s="444"/>
      <c r="BH58" s="444"/>
      <c r="BI58" s="444"/>
      <c r="BJ58" s="444"/>
    </row>
    <row r="59" spans="1:65" ht="18.75" customHeight="1" x14ac:dyDescent="0.2">
      <c r="B59" s="459" t="s">
        <v>269</v>
      </c>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row>
    <row r="60" spans="1:65" ht="18.75" customHeight="1" x14ac:dyDescent="0.2">
      <c r="B60" s="459" t="s">
        <v>270</v>
      </c>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row>
    <row r="61" spans="1:65" ht="18.75" customHeight="1" x14ac:dyDescent="0.2">
      <c r="B61" s="459" t="s">
        <v>271</v>
      </c>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row>
    <row r="62" spans="1:65" ht="23.25" customHeight="1" x14ac:dyDescent="0.2">
      <c r="B62" s="459" t="s">
        <v>272</v>
      </c>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44"/>
    </row>
    <row r="63" spans="1:65" x14ac:dyDescent="0.2">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row>
    <row r="64" spans="1:65" ht="18.75" customHeight="1" x14ac:dyDescent="0.2">
      <c r="B64" s="459" t="s">
        <v>273</v>
      </c>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row>
    <row r="65" spans="1:110" ht="18.75" customHeight="1" x14ac:dyDescent="0.2">
      <c r="B65" s="459" t="s">
        <v>274</v>
      </c>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row>
    <row r="66" spans="1:110" ht="18.75" customHeight="1" x14ac:dyDescent="0.2">
      <c r="B66" s="459" t="s">
        <v>275</v>
      </c>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row>
    <row r="67" spans="1:110" ht="18.75" customHeight="1" x14ac:dyDescent="0.2">
      <c r="B67" s="459" t="s">
        <v>276</v>
      </c>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row>
    <row r="69" spans="1:110" ht="15.75" customHeight="1" x14ac:dyDescent="0.2">
      <c r="B69" s="459" t="s">
        <v>277</v>
      </c>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row>
    <row r="70" spans="1:110" ht="18.75" customHeight="1" x14ac:dyDescent="0.2">
      <c r="B70" s="459" t="s">
        <v>278</v>
      </c>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row>
    <row r="71" spans="1:110" ht="18.75" customHeight="1" x14ac:dyDescent="0.2">
      <c r="B71" s="459" t="s">
        <v>279</v>
      </c>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row>
    <row r="73" spans="1:110" ht="18.75" customHeight="1" x14ac:dyDescent="0.2">
      <c r="B73" s="459" t="s">
        <v>280</v>
      </c>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row>
    <row r="74" spans="1:110" ht="18.75" customHeight="1" x14ac:dyDescent="0.2">
      <c r="B74" s="461" t="s">
        <v>281</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row>
    <row r="76" spans="1:110" ht="18.75" customHeight="1" x14ac:dyDescent="0.2">
      <c r="B76" s="459" t="s">
        <v>282</v>
      </c>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row>
    <row r="77" spans="1:110" ht="18.75" customHeight="1" x14ac:dyDescent="0.2">
      <c r="B77" s="459" t="s">
        <v>283</v>
      </c>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row>
    <row r="78" spans="1:110" x14ac:dyDescent="0.2">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row>
    <row r="79" spans="1:110" ht="18.75" customHeight="1" x14ac:dyDescent="0.2">
      <c r="B79" s="459" t="s">
        <v>284</v>
      </c>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row>
    <row r="80" spans="1:110" s="262" customFormat="1" ht="13.5" customHeight="1" x14ac:dyDescent="0.2">
      <c r="A80" s="267"/>
      <c r="H80" s="264"/>
      <c r="I80" s="264"/>
      <c r="J80" s="264"/>
      <c r="K80" s="264"/>
      <c r="L80" s="264"/>
      <c r="M80" s="264"/>
      <c r="N80" s="264"/>
      <c r="O80" s="264"/>
      <c r="P80" s="264"/>
      <c r="Q80" s="264"/>
      <c r="R80" s="264"/>
      <c r="T80" s="264"/>
      <c r="U80" s="265"/>
      <c r="V80" s="351"/>
      <c r="W80" s="352"/>
      <c r="X80" s="352"/>
      <c r="Y80" s="352"/>
      <c r="Z80" s="352"/>
      <c r="AA80" s="353"/>
      <c r="AB80" s="352"/>
      <c r="AC80" s="352"/>
      <c r="AD80" s="352"/>
      <c r="AE80" s="352"/>
      <c r="AF80" s="352"/>
      <c r="AG80" s="265"/>
      <c r="AH80" s="351"/>
      <c r="AI80" s="352"/>
      <c r="AJ80" s="352"/>
      <c r="AK80" s="352"/>
      <c r="AL80" s="352"/>
      <c r="AM80" s="263"/>
      <c r="AN80" s="263"/>
      <c r="AO80" s="263"/>
      <c r="AP80" s="263"/>
      <c r="AQ80" s="263"/>
      <c r="AR80" s="263"/>
      <c r="AS80" s="263"/>
      <c r="AT80" s="263"/>
      <c r="AU80" s="263"/>
      <c r="AV80" s="263"/>
      <c r="AW80" s="263"/>
      <c r="AX80" s="263"/>
      <c r="AY80" s="264"/>
      <c r="BE80" s="264"/>
      <c r="BK80" s="264"/>
      <c r="BL80" s="263"/>
      <c r="BM80" s="263"/>
      <c r="BN80" s="263"/>
      <c r="BO80" s="263"/>
      <c r="BP80" s="263"/>
      <c r="BQ80" s="265"/>
      <c r="BR80" s="263"/>
      <c r="BS80" s="263"/>
      <c r="BT80" s="263"/>
      <c r="BU80" s="74"/>
      <c r="BV80" s="74"/>
      <c r="BW80" s="265"/>
      <c r="BX80" s="266"/>
      <c r="BY80" s="266"/>
      <c r="BZ80" s="263"/>
      <c r="CA80" s="263"/>
      <c r="CB80" s="263"/>
      <c r="CC80" s="265"/>
      <c r="CD80" s="263"/>
      <c r="CE80" s="263"/>
      <c r="CF80" s="263"/>
      <c r="CG80" s="263"/>
      <c r="CH80" s="263"/>
      <c r="CI80" s="265"/>
      <c r="CJ80" s="263"/>
      <c r="CK80" s="263"/>
      <c r="CL80" s="263"/>
      <c r="CM80" s="263"/>
      <c r="CN80" s="263"/>
      <c r="CO80" s="265"/>
      <c r="CP80" s="263"/>
      <c r="CQ80" s="263"/>
      <c r="CR80" s="263"/>
      <c r="CS80" s="263"/>
      <c r="CT80" s="263"/>
      <c r="CU80" s="265"/>
      <c r="CV80" s="263"/>
      <c r="CW80" s="263"/>
      <c r="CX80" s="263"/>
      <c r="CY80" s="263"/>
      <c r="CZ80" s="263"/>
      <c r="DA80" s="265"/>
      <c r="DB80" s="263"/>
      <c r="DC80" s="263"/>
      <c r="DD80" s="263"/>
      <c r="DE80" s="263"/>
      <c r="DF80" s="263"/>
    </row>
    <row r="81" spans="1:116" s="1" customFormat="1" ht="18" customHeight="1" x14ac:dyDescent="0.2">
      <c r="H81" s="8"/>
      <c r="I81" s="8"/>
      <c r="J81" s="8"/>
      <c r="K81" s="8"/>
      <c r="L81" s="8"/>
      <c r="M81" s="8"/>
      <c r="N81" s="8"/>
      <c r="O81" s="8"/>
      <c r="P81" s="8"/>
      <c r="Q81" s="8"/>
      <c r="R81" s="8"/>
      <c r="T81" s="8"/>
      <c r="U81" s="220"/>
      <c r="V81" s="354"/>
      <c r="W81" s="337"/>
      <c r="X81" s="337"/>
      <c r="Y81" s="337"/>
      <c r="Z81" s="337"/>
      <c r="AA81" s="338"/>
      <c r="AB81" s="337"/>
      <c r="AC81" s="337"/>
      <c r="AD81" s="337"/>
      <c r="AE81" s="337"/>
      <c r="AF81" s="337"/>
      <c r="AG81" s="220"/>
      <c r="AH81" s="354"/>
      <c r="AI81" s="337"/>
      <c r="AJ81" s="337"/>
      <c r="AK81" s="337"/>
      <c r="AL81" s="337"/>
      <c r="AM81" s="74"/>
      <c r="AN81" s="74"/>
      <c r="AO81" s="74"/>
      <c r="AP81" s="74"/>
      <c r="AQ81" s="74"/>
      <c r="AR81" s="74"/>
      <c r="AS81" s="74"/>
      <c r="AT81" s="74"/>
      <c r="AU81" s="74"/>
      <c r="AV81" s="74"/>
      <c r="AW81" s="74"/>
      <c r="AX81" s="74"/>
      <c r="AY81" s="8"/>
      <c r="BE81" s="8"/>
      <c r="BK81" s="8"/>
      <c r="BL81" s="74"/>
      <c r="BM81" s="74"/>
      <c r="BN81" s="74"/>
      <c r="BO81" s="74"/>
      <c r="BP81" s="74"/>
      <c r="BQ81" s="220"/>
      <c r="BR81" s="74"/>
      <c r="BS81" s="74"/>
      <c r="BT81" s="74"/>
      <c r="BU81" s="268"/>
      <c r="BV81" s="269"/>
      <c r="BW81" s="220"/>
      <c r="BX81" s="74"/>
      <c r="BY81" s="74"/>
      <c r="BZ81" s="74"/>
      <c r="CA81" s="74"/>
      <c r="CB81" s="74"/>
      <c r="CC81" s="220"/>
      <c r="CD81" s="74"/>
      <c r="CE81" s="74"/>
      <c r="CF81" s="74"/>
      <c r="CG81" s="74"/>
      <c r="CH81" s="74"/>
      <c r="CI81" s="220"/>
      <c r="CJ81" s="74"/>
      <c r="CK81" s="74"/>
      <c r="CL81" s="74"/>
      <c r="CM81" s="74"/>
      <c r="CN81" s="74"/>
      <c r="CO81" s="220"/>
      <c r="CP81" s="74"/>
      <c r="CQ81" s="74"/>
      <c r="CR81" s="74"/>
      <c r="CS81" s="74"/>
      <c r="CT81" s="74"/>
      <c r="CU81" s="220"/>
      <c r="CV81" s="74"/>
      <c r="CW81" s="74"/>
      <c r="CX81" s="74"/>
      <c r="CY81" s="74"/>
      <c r="CZ81" s="74"/>
      <c r="DA81" s="220"/>
      <c r="DB81" s="74"/>
      <c r="DC81" s="74"/>
      <c r="DD81" s="74"/>
      <c r="DE81" s="74"/>
      <c r="DF81" s="74"/>
      <c r="DG81" s="219"/>
      <c r="DH81"/>
      <c r="DI81"/>
      <c r="DJ81"/>
      <c r="DK81"/>
      <c r="DL81"/>
    </row>
    <row r="82" spans="1:116" s="1" customFormat="1" x14ac:dyDescent="0.2">
      <c r="H82" s="8"/>
      <c r="I82" s="8"/>
      <c r="J82" s="8"/>
      <c r="K82" s="8"/>
      <c r="L82" s="8"/>
      <c r="M82" s="8"/>
      <c r="N82" s="8"/>
      <c r="O82" s="8"/>
      <c r="P82" s="8"/>
      <c r="Q82" s="8"/>
      <c r="R82" s="8"/>
      <c r="T82" s="8"/>
      <c r="U82" s="220"/>
      <c r="V82" s="354"/>
      <c r="W82" s="337"/>
      <c r="X82" s="337"/>
      <c r="Y82" s="337"/>
      <c r="Z82" s="337"/>
      <c r="AA82" s="338"/>
      <c r="AB82" s="337"/>
      <c r="AC82" s="337"/>
      <c r="AD82" s="337"/>
      <c r="AE82" s="337"/>
      <c r="AF82" s="337"/>
      <c r="AG82" s="220"/>
      <c r="AH82" s="354"/>
      <c r="AI82" s="337"/>
      <c r="AJ82" s="337"/>
      <c r="AK82" s="337"/>
      <c r="AL82" s="337"/>
      <c r="AM82" s="74"/>
      <c r="AN82" s="74"/>
      <c r="AO82" s="74"/>
      <c r="AP82" s="74"/>
      <c r="AQ82" s="74"/>
      <c r="AR82" s="74"/>
      <c r="AS82" s="74"/>
      <c r="AT82" s="74"/>
      <c r="AU82" s="74"/>
      <c r="AV82" s="74"/>
      <c r="AW82" s="74"/>
      <c r="AX82" s="74"/>
      <c r="AY82" s="8"/>
      <c r="BE82" s="8"/>
      <c r="BK82" s="8"/>
      <c r="BL82" s="74"/>
      <c r="BM82" s="74"/>
      <c r="BN82" s="74"/>
      <c r="BO82" s="74"/>
      <c r="BP82" s="74"/>
      <c r="BQ82" s="220"/>
      <c r="BR82" s="74"/>
      <c r="BS82" s="74"/>
      <c r="BT82" s="74"/>
      <c r="BU82" s="74"/>
      <c r="BV82" s="74"/>
      <c r="BW82" s="220"/>
      <c r="BX82" s="74"/>
      <c r="BY82" s="74"/>
      <c r="BZ82" s="74"/>
      <c r="CA82" s="74"/>
      <c r="CB82" s="74"/>
      <c r="CC82" s="220"/>
      <c r="CD82" s="74"/>
      <c r="CE82" s="74"/>
      <c r="CF82" s="74"/>
      <c r="CG82" s="74"/>
      <c r="CH82" s="74"/>
      <c r="CI82" s="220"/>
      <c r="CJ82" s="74"/>
      <c r="CK82" s="74"/>
      <c r="CL82" s="74"/>
      <c r="CM82" s="74"/>
      <c r="CN82" s="74"/>
      <c r="CO82" s="220"/>
      <c r="CP82" s="74"/>
      <c r="CQ82" s="74"/>
      <c r="CR82" s="74"/>
      <c r="CS82" s="74"/>
      <c r="CT82" s="74"/>
      <c r="CU82" s="220"/>
      <c r="CV82" s="74"/>
      <c r="CW82" s="74"/>
      <c r="CX82" s="74"/>
      <c r="CY82" s="74"/>
      <c r="CZ82" s="74"/>
      <c r="DA82" s="220"/>
      <c r="DB82" s="74"/>
      <c r="DC82" s="74"/>
      <c r="DD82" s="74"/>
      <c r="DE82" s="74"/>
      <c r="DF82" s="74"/>
      <c r="DG82" s="219"/>
      <c r="DH82"/>
      <c r="DI82"/>
      <c r="DJ82"/>
      <c r="DK82"/>
      <c r="DL82"/>
    </row>
    <row r="83" spans="1:116" s="1" customFormat="1" x14ac:dyDescent="0.2">
      <c r="H83" s="8"/>
      <c r="I83" s="8"/>
      <c r="J83" s="8"/>
      <c r="K83" s="8"/>
      <c r="L83" s="8"/>
      <c r="M83" s="8"/>
      <c r="N83" s="8"/>
      <c r="O83" s="8"/>
      <c r="P83" s="8"/>
      <c r="Q83" s="8"/>
      <c r="R83" s="8"/>
      <c r="T83" s="8"/>
      <c r="U83" s="220"/>
      <c r="V83" s="354"/>
      <c r="W83" s="337"/>
      <c r="X83" s="337"/>
      <c r="Y83" s="337"/>
      <c r="Z83" s="337"/>
      <c r="AA83" s="338"/>
      <c r="AB83" s="337"/>
      <c r="AC83" s="337"/>
      <c r="AD83" s="337"/>
      <c r="AE83" s="337"/>
      <c r="AF83" s="337"/>
      <c r="AG83" s="220"/>
      <c r="AH83" s="354"/>
      <c r="AI83" s="337"/>
      <c r="AJ83" s="337"/>
      <c r="AK83" s="355"/>
      <c r="AL83" s="355"/>
      <c r="AM83" s="89"/>
      <c r="AN83" s="89"/>
      <c r="AO83" s="89"/>
      <c r="AP83" s="89"/>
      <c r="AQ83" s="89"/>
      <c r="AR83" s="89"/>
      <c r="AS83" s="89"/>
      <c r="AT83" s="89"/>
      <c r="AU83" s="89"/>
      <c r="AV83" s="89"/>
      <c r="AW83" s="89"/>
      <c r="AX83" s="89"/>
      <c r="AY83" s="270"/>
      <c r="AZ83" s="10"/>
      <c r="BA83" s="10"/>
      <c r="BB83" s="10"/>
      <c r="BE83" s="8"/>
      <c r="BK83" s="219"/>
      <c r="BL83" s="74"/>
      <c r="BM83" s="74"/>
      <c r="BN83" s="74"/>
      <c r="BO83" s="74"/>
      <c r="BP83" s="74"/>
      <c r="BQ83" s="220"/>
      <c r="BR83" s="74"/>
      <c r="BS83" s="74"/>
      <c r="BT83" s="74"/>
      <c r="BU83" s="74"/>
      <c r="BV83" s="74"/>
      <c r="BW83" s="220"/>
      <c r="BX83" s="74"/>
      <c r="BY83" s="74"/>
      <c r="BZ83" s="74"/>
      <c r="CA83" s="74"/>
      <c r="CB83" s="74"/>
      <c r="CC83" s="220"/>
      <c r="CD83" s="74"/>
      <c r="CE83" s="74"/>
      <c r="CF83" s="74"/>
      <c r="CG83" s="74"/>
      <c r="CH83" s="74"/>
      <c r="CI83" s="220"/>
      <c r="CJ83" s="74"/>
      <c r="CK83" s="74"/>
      <c r="CL83" s="74"/>
      <c r="CM83" s="74"/>
      <c r="CN83" s="74"/>
      <c r="CO83" s="220"/>
      <c r="CP83" s="74"/>
      <c r="CQ83" s="74"/>
      <c r="CR83" s="74"/>
      <c r="CS83" s="74"/>
      <c r="CT83" s="74"/>
      <c r="CU83" s="220"/>
      <c r="CV83" s="74"/>
      <c r="CW83" s="74"/>
      <c r="CX83" s="74"/>
      <c r="CY83" s="74"/>
      <c r="CZ83" s="74"/>
      <c r="DA83" s="220"/>
      <c r="DB83" s="74"/>
      <c r="DC83" s="74"/>
      <c r="DD83" s="74"/>
      <c r="DE83" s="74"/>
      <c r="DF83" s="74"/>
      <c r="DG83" s="219"/>
      <c r="DH83"/>
      <c r="DI83"/>
      <c r="DJ83"/>
      <c r="DK83"/>
      <c r="DL83"/>
    </row>
    <row r="84" spans="1:116" s="1" customFormat="1" x14ac:dyDescent="0.2">
      <c r="H84" s="8"/>
      <c r="I84" s="8"/>
      <c r="J84" s="8"/>
      <c r="K84" s="8"/>
      <c r="L84" s="8"/>
      <c r="M84" s="8"/>
      <c r="N84" s="8"/>
      <c r="O84" s="8"/>
      <c r="P84" s="8"/>
      <c r="Q84" s="8"/>
      <c r="R84" s="8"/>
      <c r="T84" s="8"/>
      <c r="U84" s="220"/>
      <c r="V84" s="354"/>
      <c r="W84" s="337"/>
      <c r="X84" s="337"/>
      <c r="Y84" s="337"/>
      <c r="Z84" s="337"/>
      <c r="AA84" s="338"/>
      <c r="AB84" s="337"/>
      <c r="AC84" s="337"/>
      <c r="AD84" s="337"/>
      <c r="AE84" s="337"/>
      <c r="AF84" s="337"/>
      <c r="AG84" s="220"/>
      <c r="AH84" s="354"/>
      <c r="AI84" s="337"/>
      <c r="AJ84" s="337"/>
      <c r="AK84" s="355"/>
      <c r="AL84" s="355"/>
      <c r="AM84" s="89"/>
      <c r="AN84" s="89"/>
      <c r="AO84" s="89"/>
      <c r="AP84" s="89"/>
      <c r="AQ84" s="89"/>
      <c r="AR84" s="89"/>
      <c r="AS84" s="89"/>
      <c r="AT84" s="89"/>
      <c r="AU84" s="89"/>
      <c r="AV84" s="89"/>
      <c r="AW84" s="89"/>
      <c r="AX84" s="89"/>
      <c r="AY84" s="270"/>
      <c r="AZ84" s="10"/>
      <c r="BA84" s="10"/>
      <c r="BB84" s="10"/>
      <c r="BE84" s="8"/>
      <c r="BK84" s="219"/>
      <c r="BL84" s="74"/>
      <c r="BM84" s="74"/>
      <c r="BN84" s="74"/>
      <c r="BO84" s="74"/>
      <c r="BP84" s="74"/>
      <c r="BQ84" s="220"/>
      <c r="BR84" s="74"/>
      <c r="BS84" s="74"/>
      <c r="BT84" s="74"/>
      <c r="BU84" s="74"/>
      <c r="BV84" s="74"/>
      <c r="BW84" s="220"/>
      <c r="BX84" s="74"/>
      <c r="BY84" s="74"/>
      <c r="BZ84" s="74"/>
      <c r="CA84" s="74"/>
      <c r="CB84" s="74"/>
      <c r="CC84" s="220"/>
      <c r="CD84" s="74"/>
      <c r="CE84" s="74"/>
      <c r="CF84" s="74"/>
      <c r="CG84" s="74"/>
      <c r="CH84" s="74"/>
      <c r="CI84" s="220"/>
      <c r="CJ84" s="74"/>
      <c r="CK84" s="74"/>
      <c r="CL84" s="74"/>
      <c r="CM84" s="74"/>
      <c r="CN84" s="74"/>
      <c r="CO84" s="220"/>
      <c r="CP84" s="74"/>
      <c r="CQ84" s="74"/>
      <c r="CR84" s="74"/>
      <c r="CS84" s="74"/>
      <c r="CT84" s="74"/>
      <c r="CU84" s="220"/>
      <c r="CV84" s="74"/>
      <c r="CW84" s="74"/>
      <c r="CX84" s="74"/>
      <c r="CY84" s="74"/>
      <c r="CZ84" s="74"/>
      <c r="DA84" s="220"/>
      <c r="DB84" s="74"/>
      <c r="DC84" s="74"/>
      <c r="DD84" s="74"/>
      <c r="DE84" s="74"/>
      <c r="DF84" s="74"/>
      <c r="DG84" s="219"/>
      <c r="DH84"/>
      <c r="DI84"/>
      <c r="DJ84"/>
      <c r="DK84"/>
      <c r="DL84"/>
    </row>
    <row r="85" spans="1:116" s="1" customFormat="1" x14ac:dyDescent="0.2">
      <c r="A85"/>
      <c r="B85" s="10" t="s">
        <v>285</v>
      </c>
      <c r="C85" s="10"/>
      <c r="D85" s="10"/>
      <c r="E85" s="10"/>
      <c r="F85" s="10"/>
      <c r="G85" s="10"/>
      <c r="H85" s="377"/>
      <c r="I85" s="377"/>
      <c r="J85" s="377"/>
      <c r="K85" s="377"/>
      <c r="L85" s="377"/>
      <c r="M85" s="377"/>
      <c r="N85" s="377"/>
      <c r="O85" s="377"/>
      <c r="P85" s="377"/>
      <c r="Q85" s="377"/>
      <c r="R85" s="377"/>
      <c r="S85" s="10"/>
      <c r="T85" s="377"/>
      <c r="U85" s="270"/>
      <c r="V85" s="356"/>
      <c r="W85" s="355"/>
      <c r="X85" s="355"/>
      <c r="Y85" s="355"/>
      <c r="Z85" s="355"/>
      <c r="AA85" s="357"/>
      <c r="AB85" s="355"/>
      <c r="AC85" s="355"/>
      <c r="AD85" s="355"/>
      <c r="AE85" s="355"/>
      <c r="AF85" s="355"/>
      <c r="AG85" s="270"/>
      <c r="AH85" s="356"/>
      <c r="AI85" s="355"/>
      <c r="AJ85" s="355"/>
      <c r="AK85" s="355"/>
      <c r="AL85" s="355"/>
      <c r="AM85" s="89"/>
      <c r="AN85" s="89"/>
      <c r="AO85" s="89"/>
      <c r="AP85" s="89"/>
      <c r="AQ85" s="89"/>
      <c r="AR85" s="89"/>
      <c r="AS85" s="89"/>
      <c r="AT85" s="89"/>
      <c r="AU85" s="89"/>
      <c r="AV85" s="89"/>
      <c r="AW85" s="89"/>
      <c r="AX85" s="89"/>
      <c r="AY85" s="270"/>
      <c r="AZ85" s="10"/>
      <c r="BA85" s="10"/>
      <c r="BB85" s="10"/>
      <c r="BE85" s="8"/>
      <c r="BK85" s="219"/>
      <c r="BL85" s="74"/>
      <c r="BM85" s="74"/>
      <c r="BN85" s="74"/>
      <c r="BO85" s="74"/>
      <c r="BP85" s="74"/>
      <c r="BQ85" s="220"/>
      <c r="BR85" s="74"/>
      <c r="BS85" s="74"/>
      <c r="BT85" s="74"/>
      <c r="BU85" s="74"/>
      <c r="BV85" s="74"/>
      <c r="BW85" s="220"/>
      <c r="BX85" s="74"/>
      <c r="BY85" s="74"/>
      <c r="BZ85" s="74"/>
      <c r="CA85" s="74"/>
      <c r="CB85" s="74"/>
      <c r="CC85" s="220"/>
      <c r="CD85" s="74"/>
      <c r="CE85" s="74"/>
      <c r="CF85" s="74"/>
      <c r="CG85" s="74"/>
      <c r="CH85" s="74"/>
      <c r="CI85" s="220"/>
      <c r="CJ85" s="74"/>
      <c r="CK85" s="74"/>
      <c r="CL85" s="74"/>
      <c r="CM85" s="74"/>
      <c r="CN85" s="74"/>
      <c r="CO85" s="220"/>
      <c r="CP85" s="74"/>
      <c r="CQ85" s="74"/>
      <c r="CR85" s="74"/>
      <c r="CS85" s="74"/>
      <c r="CT85" s="74"/>
      <c r="CU85" s="220"/>
      <c r="CV85" s="74"/>
      <c r="CW85" s="74"/>
      <c r="CX85" s="74"/>
      <c r="CY85" s="74"/>
      <c r="CZ85" s="74"/>
      <c r="DA85" s="220"/>
      <c r="DB85" s="74"/>
      <c r="DC85" s="74"/>
      <c r="DD85" s="74"/>
      <c r="DE85" s="74"/>
      <c r="DF85" s="74"/>
      <c r="DG85" s="219"/>
      <c r="DH85"/>
      <c r="DI85"/>
      <c r="DJ85"/>
      <c r="DK85"/>
      <c r="DL85"/>
    </row>
    <row r="86" spans="1:116" s="1" customFormat="1" ht="16.5" customHeight="1" x14ac:dyDescent="0.2">
      <c r="A86"/>
      <c r="H86" s="8"/>
      <c r="I86" s="8"/>
      <c r="J86" s="8"/>
      <c r="K86" s="8"/>
      <c r="L86" s="8"/>
      <c r="M86" s="8"/>
      <c r="N86" s="8"/>
      <c r="O86" s="8"/>
      <c r="P86" s="8"/>
      <c r="Q86" s="8"/>
      <c r="R86" s="8"/>
      <c r="T86" s="8"/>
      <c r="U86" s="220"/>
      <c r="V86" s="354"/>
      <c r="W86" s="337"/>
      <c r="X86" s="337"/>
      <c r="Y86" s="337"/>
      <c r="Z86" s="337"/>
      <c r="AA86" s="338"/>
      <c r="AB86" s="337"/>
      <c r="AC86" s="337"/>
      <c r="AD86" s="337"/>
      <c r="AE86" s="337"/>
      <c r="AF86" s="337"/>
      <c r="AG86" s="220"/>
      <c r="AH86" s="354"/>
      <c r="AI86" s="337"/>
      <c r="AJ86" s="337"/>
      <c r="AK86" s="337"/>
      <c r="AL86" s="337"/>
      <c r="AM86" s="74"/>
      <c r="AN86" s="74"/>
      <c r="AO86" s="74"/>
      <c r="AP86" s="74"/>
      <c r="AQ86" s="74"/>
      <c r="AR86" s="74"/>
      <c r="AS86" s="74"/>
      <c r="AT86" s="74"/>
      <c r="AU86" s="74"/>
      <c r="AV86" s="74"/>
      <c r="AW86" s="74"/>
      <c r="AX86" s="74"/>
      <c r="AY86" s="8"/>
      <c r="BE86" s="8"/>
      <c r="BK86" s="8"/>
      <c r="BL86" s="74"/>
      <c r="BM86" s="74"/>
      <c r="BN86" s="74"/>
      <c r="BO86" s="74"/>
      <c r="BP86" s="74"/>
      <c r="BQ86" s="220"/>
      <c r="BR86" s="74"/>
      <c r="BS86" s="74"/>
      <c r="BT86" s="74"/>
      <c r="BU86" s="74"/>
      <c r="BV86" s="74"/>
      <c r="BW86" s="220"/>
      <c r="BX86" s="74"/>
      <c r="BY86" s="74"/>
      <c r="BZ86" s="74"/>
      <c r="CA86" s="74"/>
      <c r="CB86" s="74"/>
      <c r="CC86" s="220"/>
      <c r="CD86" s="74"/>
      <c r="CE86" s="74"/>
      <c r="CF86" s="74"/>
      <c r="CG86" s="74"/>
      <c r="CH86" s="74"/>
      <c r="CI86" s="220"/>
      <c r="CJ86" s="74"/>
      <c r="CK86" s="74"/>
      <c r="CL86" s="74"/>
      <c r="CM86" s="74"/>
      <c r="CN86" s="74"/>
      <c r="CO86" s="220"/>
      <c r="CP86" s="74"/>
      <c r="CQ86" s="74"/>
      <c r="CR86" s="74"/>
      <c r="CS86" s="74"/>
      <c r="CT86" s="74"/>
      <c r="CU86" s="220"/>
      <c r="CV86" s="74"/>
      <c r="CW86" s="74"/>
      <c r="CX86" s="74"/>
      <c r="CY86" s="74"/>
      <c r="CZ86" s="74"/>
      <c r="DA86" s="220"/>
      <c r="DB86" s="74"/>
      <c r="DC86" s="74"/>
      <c r="DD86" s="74"/>
      <c r="DE86" s="74"/>
      <c r="DF86" s="74"/>
      <c r="DG86" s="219"/>
      <c r="DH86"/>
      <c r="DI86"/>
      <c r="DJ86"/>
      <c r="DK86"/>
      <c r="DL86"/>
    </row>
    <row r="87" spans="1:116" s="262" customFormat="1" x14ac:dyDescent="0.2">
      <c r="A87" s="261"/>
      <c r="H87" s="264"/>
      <c r="I87" s="264"/>
      <c r="J87" s="264"/>
      <c r="K87" s="264"/>
      <c r="L87" s="264"/>
      <c r="M87" s="264"/>
      <c r="N87" s="264"/>
      <c r="O87" s="264"/>
      <c r="P87" s="264"/>
      <c r="Q87" s="264"/>
      <c r="R87" s="264"/>
      <c r="T87" s="264"/>
      <c r="U87" s="265"/>
      <c r="V87" s="351"/>
      <c r="W87" s="352"/>
      <c r="X87" s="352"/>
      <c r="Y87" s="352"/>
      <c r="Z87" s="352"/>
      <c r="AA87" s="353"/>
      <c r="AB87" s="352"/>
      <c r="AC87" s="352"/>
      <c r="AD87" s="352"/>
      <c r="AE87" s="352"/>
      <c r="AF87" s="352"/>
      <c r="AG87" s="265"/>
      <c r="AH87" s="351"/>
      <c r="AI87" s="352"/>
      <c r="AJ87" s="352"/>
      <c r="AK87" s="352"/>
      <c r="AL87" s="352"/>
      <c r="AM87" s="263"/>
      <c r="AN87" s="263"/>
      <c r="AO87" s="263"/>
      <c r="AP87" s="263"/>
      <c r="AQ87" s="263"/>
      <c r="AR87" s="263"/>
      <c r="AS87" s="263"/>
      <c r="AT87" s="263"/>
      <c r="AU87" s="263"/>
      <c r="AV87" s="263"/>
      <c r="AW87" s="263"/>
      <c r="AX87" s="263"/>
      <c r="AY87" s="264"/>
      <c r="BE87" s="264"/>
      <c r="BK87" s="264"/>
      <c r="BL87" s="263"/>
      <c r="BM87" s="263"/>
      <c r="BN87" s="263"/>
      <c r="BO87" s="263"/>
      <c r="BP87" s="263"/>
      <c r="BQ87" s="265"/>
      <c r="BR87" s="263"/>
      <c r="BS87" s="263"/>
      <c r="BT87" s="263"/>
      <c r="BU87" s="263"/>
      <c r="BV87" s="74"/>
      <c r="BW87" s="265"/>
      <c r="BX87" s="266"/>
      <c r="BY87" s="266"/>
      <c r="BZ87" s="263"/>
      <c r="CA87" s="263"/>
      <c r="CB87" s="263"/>
      <c r="CC87" s="265"/>
      <c r="CD87" s="263"/>
      <c r="CE87" s="263"/>
      <c r="CF87" s="263"/>
      <c r="CG87" s="263"/>
      <c r="CH87" s="263"/>
      <c r="CI87" s="265"/>
      <c r="CJ87" s="263"/>
      <c r="CK87" s="263"/>
      <c r="CL87" s="263"/>
      <c r="CM87" s="263"/>
      <c r="CN87" s="263"/>
      <c r="CO87" s="265"/>
      <c r="CP87" s="263"/>
      <c r="CQ87" s="263"/>
      <c r="CR87" s="263"/>
      <c r="CS87" s="263"/>
      <c r="CT87" s="263"/>
      <c r="CU87" s="265"/>
      <c r="CV87" s="263"/>
      <c r="CW87" s="263"/>
      <c r="CX87" s="263"/>
      <c r="CY87" s="263"/>
      <c r="CZ87" s="263"/>
      <c r="DA87" s="265"/>
      <c r="DB87" s="263"/>
      <c r="DC87" s="263"/>
      <c r="DD87" s="263"/>
      <c r="DE87" s="263"/>
      <c r="DF87" s="263"/>
    </row>
    <row r="88" spans="1:116" s="262" customFormat="1" ht="17.25" customHeight="1" x14ac:dyDescent="0.2">
      <c r="A88" s="267"/>
      <c r="B88" s="460"/>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0"/>
      <c r="AY88" s="460"/>
      <c r="AZ88" s="460"/>
      <c r="BA88" s="460"/>
      <c r="BB88" s="460"/>
      <c r="BC88" s="460"/>
      <c r="BD88" s="460"/>
      <c r="BE88" s="460"/>
      <c r="BF88" s="460"/>
      <c r="BG88" s="460"/>
      <c r="BH88" s="460"/>
      <c r="BI88" s="460"/>
      <c r="BJ88" s="460"/>
      <c r="BK88" s="460"/>
      <c r="BL88" s="460"/>
      <c r="BM88" s="460"/>
      <c r="BN88" s="460"/>
      <c r="BO88" s="460"/>
      <c r="BP88" s="460"/>
      <c r="BQ88" s="460"/>
      <c r="BR88" s="460"/>
      <c r="BS88" s="460"/>
      <c r="BT88" s="460"/>
      <c r="BU88" s="74"/>
      <c r="BV88" s="74"/>
      <c r="BW88" s="265"/>
      <c r="BX88" s="266"/>
      <c r="BY88" s="266"/>
      <c r="BZ88" s="263"/>
      <c r="CA88" s="263"/>
      <c r="CB88" s="263"/>
      <c r="CC88" s="265"/>
      <c r="CD88" s="263"/>
      <c r="CE88" s="263"/>
      <c r="CF88" s="263"/>
      <c r="CG88" s="263"/>
      <c r="CH88" s="263"/>
      <c r="CI88" s="265"/>
      <c r="CJ88" s="263"/>
      <c r="CK88" s="263"/>
      <c r="CL88" s="263"/>
      <c r="CM88" s="263"/>
      <c r="CN88" s="263"/>
      <c r="CO88" s="265"/>
      <c r="CP88" s="263"/>
      <c r="CQ88" s="263"/>
      <c r="CR88" s="263"/>
      <c r="CS88" s="263"/>
      <c r="CT88" s="263"/>
      <c r="CU88" s="265"/>
      <c r="CV88" s="263"/>
      <c r="CW88" s="263"/>
      <c r="CX88" s="263"/>
      <c r="CY88" s="263"/>
      <c r="CZ88" s="263"/>
      <c r="DA88" s="265"/>
      <c r="DB88" s="263"/>
      <c r="DC88" s="263"/>
      <c r="DD88" s="263"/>
      <c r="DE88" s="263"/>
      <c r="DF88" s="263"/>
    </row>
    <row r="89" spans="1:116" s="1" customFormat="1" ht="15.75" customHeight="1" x14ac:dyDescent="0.2">
      <c r="B89" s="10"/>
      <c r="C89" s="10"/>
      <c r="D89" s="10"/>
      <c r="E89" s="10"/>
      <c r="F89" s="10"/>
      <c r="G89" s="10"/>
      <c r="H89" s="377"/>
      <c r="I89" s="377"/>
      <c r="J89" s="377"/>
      <c r="K89" s="377"/>
      <c r="L89" s="377"/>
      <c r="M89" s="377"/>
      <c r="N89" s="377"/>
      <c r="O89" s="377"/>
      <c r="P89" s="377"/>
      <c r="Q89" s="377"/>
      <c r="R89" s="377"/>
      <c r="S89" s="10"/>
      <c r="T89" s="377"/>
      <c r="U89" s="270"/>
      <c r="V89" s="356"/>
      <c r="W89" s="355"/>
      <c r="X89" s="355"/>
      <c r="Y89" s="355"/>
      <c r="Z89" s="355"/>
      <c r="AA89" s="357"/>
      <c r="AB89" s="355"/>
      <c r="AC89" s="355"/>
      <c r="AD89" s="355"/>
      <c r="AE89" s="355"/>
      <c r="AF89" s="355"/>
      <c r="AG89" s="270"/>
      <c r="AH89" s="356"/>
      <c r="AI89" s="355"/>
      <c r="AJ89" s="355"/>
      <c r="AK89" s="355"/>
      <c r="AL89" s="355"/>
      <c r="AM89" s="89"/>
      <c r="AN89" s="89"/>
      <c r="AO89" s="89"/>
      <c r="AP89" s="89"/>
      <c r="AQ89" s="89"/>
      <c r="AR89" s="89"/>
      <c r="AS89" s="89"/>
      <c r="AT89" s="89"/>
      <c r="AU89" s="89"/>
      <c r="AV89" s="89"/>
      <c r="AW89" s="89"/>
      <c r="AX89" s="89"/>
      <c r="AY89" s="270"/>
      <c r="AZ89" s="10"/>
      <c r="BA89" s="10"/>
      <c r="BB89" s="10"/>
      <c r="BC89" s="267"/>
      <c r="BD89" s="267"/>
      <c r="BE89" s="271"/>
      <c r="BF89" s="267"/>
      <c r="BG89" s="267"/>
      <c r="BH89" s="267"/>
      <c r="BI89" s="267"/>
      <c r="BJ89" s="272"/>
      <c r="BK89" s="271"/>
      <c r="BL89" s="263"/>
      <c r="BM89" s="263"/>
      <c r="BN89" s="263"/>
      <c r="BO89" s="263"/>
      <c r="BP89" s="266"/>
      <c r="BQ89" s="273"/>
      <c r="BR89" s="266"/>
      <c r="BS89" s="266"/>
      <c r="BT89" s="266"/>
      <c r="BU89" s="74"/>
      <c r="BV89" s="269"/>
      <c r="BW89" s="220"/>
      <c r="BX89" s="74"/>
      <c r="BY89" s="74"/>
      <c r="BZ89" s="74"/>
      <c r="CA89" s="74"/>
      <c r="CB89" s="74"/>
      <c r="CC89" s="220"/>
      <c r="CD89" s="74"/>
      <c r="CE89" s="74"/>
      <c r="CF89" s="74"/>
      <c r="CG89" s="74"/>
      <c r="CH89" s="74"/>
      <c r="CI89" s="220"/>
      <c r="CJ89" s="74"/>
      <c r="CK89" s="74"/>
      <c r="CL89" s="74"/>
      <c r="CM89" s="74"/>
      <c r="CN89" s="74"/>
      <c r="CO89" s="220"/>
      <c r="CP89" s="74"/>
      <c r="CQ89" s="74"/>
      <c r="CR89" s="74"/>
      <c r="CS89" s="74"/>
      <c r="CT89" s="74"/>
      <c r="CU89" s="220"/>
      <c r="CV89" s="74"/>
      <c r="CW89" s="74"/>
      <c r="CX89" s="74"/>
      <c r="CY89" s="74"/>
      <c r="CZ89" s="74"/>
      <c r="DA89" s="220"/>
      <c r="DB89" s="74"/>
      <c r="DC89" s="74"/>
      <c r="DD89" s="74"/>
      <c r="DE89" s="74"/>
      <c r="DF89" s="74"/>
      <c r="DG89" s="219"/>
      <c r="DH89"/>
      <c r="DI89"/>
      <c r="DJ89"/>
      <c r="DK89"/>
      <c r="DL89"/>
    </row>
    <row r="90" spans="1:116" s="1" customFormat="1" x14ac:dyDescent="0.2">
      <c r="B90" s="460"/>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460"/>
      <c r="BA90" s="460"/>
      <c r="BB90" s="460"/>
      <c r="BC90" s="460"/>
      <c r="BD90" s="460"/>
      <c r="BE90" s="460"/>
      <c r="BF90" s="460"/>
      <c r="BG90" s="460"/>
      <c r="BH90" s="460"/>
      <c r="BI90" s="460"/>
      <c r="BJ90" s="460"/>
      <c r="BK90" s="460"/>
      <c r="BL90" s="460"/>
      <c r="BM90" s="460"/>
      <c r="BN90" s="460"/>
      <c r="BO90" s="460"/>
      <c r="BP90" s="460"/>
      <c r="BQ90" s="460"/>
      <c r="BR90" s="460"/>
      <c r="BS90" s="460"/>
      <c r="BT90" s="460"/>
      <c r="BU90" s="74"/>
      <c r="BV90" s="74"/>
      <c r="BW90" s="220"/>
      <c r="BX90" s="74"/>
      <c r="BY90" s="74"/>
      <c r="BZ90" s="74"/>
      <c r="CA90" s="74"/>
      <c r="CB90" s="74"/>
      <c r="CC90" s="220"/>
      <c r="CD90" s="74"/>
      <c r="CE90" s="74"/>
      <c r="CF90" s="74"/>
      <c r="CG90" s="74"/>
      <c r="CH90" s="74"/>
      <c r="CI90" s="220"/>
      <c r="CJ90" s="74"/>
      <c r="CK90" s="74"/>
      <c r="CL90" s="74"/>
      <c r="CM90" s="74"/>
      <c r="CN90" s="74"/>
      <c r="CO90" s="220"/>
      <c r="CP90" s="74"/>
      <c r="CQ90" s="74"/>
      <c r="CR90" s="74"/>
      <c r="CS90" s="74"/>
      <c r="CT90" s="74"/>
      <c r="CU90" s="220"/>
      <c r="CV90" s="74"/>
      <c r="CW90" s="74"/>
      <c r="CX90" s="74"/>
      <c r="CY90" s="74"/>
      <c r="CZ90" s="74"/>
      <c r="DA90" s="220"/>
      <c r="DB90" s="74"/>
      <c r="DC90" s="74"/>
      <c r="DD90" s="74"/>
      <c r="DE90" s="74"/>
      <c r="DF90" s="74"/>
      <c r="DG90" s="219"/>
      <c r="DH90"/>
      <c r="DI90"/>
      <c r="DJ90"/>
      <c r="DK90"/>
      <c r="DL90"/>
    </row>
    <row r="91" spans="1:116" s="1" customFormat="1" x14ac:dyDescent="0.2">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460"/>
      <c r="BA91" s="460"/>
      <c r="BB91" s="460"/>
      <c r="BC91" s="460"/>
      <c r="BD91" s="460"/>
      <c r="BE91" s="460"/>
      <c r="BF91" s="460"/>
      <c r="BG91" s="460"/>
      <c r="BH91" s="460"/>
      <c r="BI91" s="460"/>
      <c r="BJ91" s="460"/>
      <c r="BK91" s="460"/>
      <c r="BL91" s="460"/>
      <c r="BM91" s="460"/>
      <c r="BN91" s="460"/>
      <c r="BO91" s="460"/>
      <c r="BP91" s="460"/>
      <c r="BQ91" s="460"/>
      <c r="BR91" s="460"/>
      <c r="BS91" s="460"/>
      <c r="BT91" s="460"/>
      <c r="BU91" s="274"/>
      <c r="BV91" s="74"/>
      <c r="BW91" s="220"/>
      <c r="BX91" s="74"/>
      <c r="BY91" s="74"/>
      <c r="BZ91" s="74"/>
      <c r="CA91" s="74"/>
      <c r="CB91" s="74"/>
      <c r="CC91" s="220"/>
      <c r="CD91" s="74"/>
      <c r="CE91" s="74"/>
      <c r="CF91" s="74"/>
      <c r="CG91" s="74"/>
      <c r="CH91" s="74"/>
      <c r="CI91" s="220"/>
      <c r="CJ91" s="74"/>
      <c r="CK91" s="74"/>
      <c r="CL91" s="74"/>
      <c r="CM91" s="74"/>
      <c r="CN91" s="74"/>
      <c r="CO91" s="220"/>
      <c r="CP91" s="74"/>
      <c r="CQ91" s="74"/>
      <c r="CR91" s="74"/>
      <c r="CS91" s="74"/>
      <c r="CT91" s="74"/>
      <c r="CU91" s="220"/>
      <c r="CV91" s="74"/>
      <c r="CW91" s="74"/>
      <c r="CX91" s="74"/>
      <c r="CY91" s="74"/>
      <c r="CZ91" s="74"/>
      <c r="DA91" s="220"/>
      <c r="DB91" s="74"/>
      <c r="DC91" s="74"/>
      <c r="DD91" s="74"/>
      <c r="DE91" s="74"/>
      <c r="DF91" s="74"/>
      <c r="DG91" s="219"/>
      <c r="DH91"/>
      <c r="DI91"/>
      <c r="DJ91"/>
      <c r="DK91"/>
      <c r="DL91"/>
    </row>
    <row r="92" spans="1:116" x14ac:dyDescent="0.2">
      <c r="A92" s="1"/>
      <c r="B92" s="10"/>
      <c r="C92" s="10"/>
      <c r="D92" s="10"/>
      <c r="E92" s="10"/>
      <c r="F92" s="10"/>
      <c r="G92" s="10"/>
      <c r="H92" s="377"/>
      <c r="I92" s="377"/>
      <c r="J92" s="377"/>
      <c r="K92" s="377"/>
      <c r="L92" s="377"/>
      <c r="M92" s="377"/>
      <c r="N92" s="377"/>
      <c r="O92" s="377"/>
      <c r="P92" s="377"/>
      <c r="Q92" s="377"/>
      <c r="R92" s="377"/>
      <c r="S92" s="10"/>
      <c r="T92" s="377"/>
      <c r="U92" s="270"/>
      <c r="V92" s="356"/>
      <c r="W92" s="355"/>
      <c r="X92" s="355"/>
      <c r="Y92" s="355"/>
      <c r="Z92" s="355"/>
      <c r="AA92" s="357"/>
      <c r="AB92" s="355"/>
      <c r="AC92" s="355"/>
      <c r="AD92" s="355"/>
      <c r="AE92" s="355"/>
      <c r="AF92" s="355"/>
      <c r="AG92" s="270"/>
      <c r="AH92" s="356"/>
      <c r="AI92" s="355"/>
      <c r="AJ92" s="355"/>
      <c r="AK92" s="355"/>
      <c r="AL92" s="355"/>
      <c r="AM92" s="89"/>
      <c r="AN92" s="89"/>
      <c r="AO92" s="89"/>
      <c r="AP92" s="89"/>
      <c r="AQ92" s="89"/>
      <c r="AR92" s="89"/>
      <c r="AS92" s="89"/>
      <c r="AT92" s="89"/>
      <c r="AU92" s="89"/>
      <c r="AV92" s="89"/>
      <c r="AW92" s="89"/>
      <c r="AX92" s="89"/>
      <c r="AY92" s="270"/>
      <c r="AZ92" s="10"/>
      <c r="BA92" s="10"/>
      <c r="BB92" s="10"/>
    </row>
    <row r="93" spans="1:116" x14ac:dyDescent="0.2">
      <c r="B93" s="10"/>
      <c r="C93" s="10"/>
      <c r="D93" s="10"/>
      <c r="E93" s="10"/>
      <c r="F93" s="10"/>
      <c r="G93" s="10"/>
      <c r="H93" s="377"/>
      <c r="I93" s="377"/>
      <c r="J93" s="377"/>
      <c r="K93" s="377"/>
      <c r="L93" s="377"/>
      <c r="M93" s="377"/>
      <c r="N93" s="377"/>
      <c r="O93" s="377"/>
      <c r="P93" s="377"/>
      <c r="Q93" s="377"/>
      <c r="R93" s="377"/>
      <c r="S93" s="10"/>
      <c r="T93" s="377"/>
      <c r="U93" s="270"/>
      <c r="V93" s="356"/>
      <c r="W93" s="355"/>
      <c r="X93" s="355"/>
      <c r="Y93" s="355"/>
      <c r="Z93" s="355"/>
      <c r="AA93" s="357"/>
      <c r="AB93" s="355"/>
      <c r="AC93" s="355"/>
      <c r="AD93" s="355"/>
      <c r="AE93" s="355"/>
      <c r="AF93" s="355"/>
      <c r="AG93" s="270"/>
      <c r="AH93" s="356"/>
      <c r="AI93" s="355"/>
      <c r="AJ93" s="355"/>
      <c r="AK93" s="355"/>
      <c r="AL93" s="355"/>
      <c r="AM93" s="89"/>
      <c r="AN93" s="89"/>
      <c r="AO93" s="89"/>
      <c r="AP93" s="89"/>
      <c r="AQ93" s="89"/>
      <c r="AR93" s="89"/>
      <c r="AS93" s="89"/>
      <c r="AT93" s="89"/>
      <c r="AU93" s="89"/>
      <c r="AV93" s="89"/>
      <c r="AW93" s="89"/>
      <c r="AX93" s="89"/>
      <c r="AY93" s="270"/>
      <c r="AZ93" s="10"/>
      <c r="BA93" s="10"/>
      <c r="BB93" s="10"/>
    </row>
    <row r="94" spans="1:116" x14ac:dyDescent="0.2">
      <c r="A94" s="261"/>
      <c r="B94" s="10"/>
      <c r="C94" s="10"/>
      <c r="D94" s="10"/>
      <c r="E94" s="10"/>
      <c r="F94" s="10"/>
      <c r="G94" s="10"/>
      <c r="H94" s="377"/>
      <c r="I94" s="377"/>
      <c r="J94" s="377"/>
      <c r="K94" s="377"/>
      <c r="L94" s="377"/>
      <c r="M94" s="377"/>
      <c r="N94" s="377"/>
      <c r="O94" s="377"/>
      <c r="P94" s="377"/>
      <c r="Q94" s="377"/>
      <c r="R94" s="377"/>
      <c r="S94" s="10"/>
      <c r="T94" s="377"/>
      <c r="U94" s="270"/>
      <c r="V94" s="356"/>
      <c r="W94" s="355"/>
      <c r="X94" s="355"/>
      <c r="Y94" s="355"/>
      <c r="Z94" s="355"/>
      <c r="AA94" s="357"/>
      <c r="AB94" s="355"/>
      <c r="AC94" s="355"/>
      <c r="AD94" s="355"/>
      <c r="AE94" s="355"/>
      <c r="AF94" s="355"/>
      <c r="AG94" s="270"/>
      <c r="AH94" s="356"/>
      <c r="AI94" s="355"/>
      <c r="AJ94" s="355"/>
      <c r="AK94" s="355"/>
      <c r="AL94" s="355"/>
      <c r="AM94" s="89"/>
      <c r="AN94" s="89"/>
      <c r="AO94" s="89"/>
      <c r="AP94" s="89"/>
      <c r="AQ94" s="89"/>
      <c r="AR94" s="89"/>
      <c r="AS94" s="89"/>
      <c r="AT94" s="89"/>
      <c r="AU94" s="89"/>
      <c r="AV94" s="89"/>
      <c r="AW94" s="89"/>
      <c r="AX94" s="89"/>
      <c r="AY94" s="270"/>
      <c r="AZ94" s="10"/>
      <c r="BA94" s="10"/>
      <c r="BB94" s="10"/>
      <c r="BW94" s="224"/>
      <c r="CC94" s="224"/>
      <c r="CI94" s="224"/>
      <c r="CO94" s="224"/>
      <c r="CU94" s="224"/>
      <c r="DA94" s="224"/>
      <c r="DG94"/>
    </row>
    <row r="95" spans="1:116" x14ac:dyDescent="0.2">
      <c r="B95" s="275"/>
      <c r="C95" s="275"/>
      <c r="D95" s="275"/>
      <c r="E95" s="275"/>
      <c r="F95" s="275"/>
      <c r="G95" s="275"/>
      <c r="H95" s="378"/>
      <c r="I95" s="378"/>
      <c r="J95" s="378"/>
      <c r="K95" s="378"/>
      <c r="L95" s="378"/>
      <c r="M95" s="378"/>
      <c r="N95" s="378"/>
      <c r="O95" s="378"/>
      <c r="P95" s="378"/>
      <c r="Q95" s="378"/>
      <c r="R95" s="378"/>
      <c r="S95" s="275"/>
      <c r="T95" s="378"/>
      <c r="U95" s="361"/>
      <c r="V95" s="358"/>
      <c r="W95" s="359"/>
      <c r="X95" s="359"/>
      <c r="Y95" s="359"/>
      <c r="Z95" s="359"/>
      <c r="AA95" s="360"/>
      <c r="AB95" s="359"/>
      <c r="AC95" s="359"/>
      <c r="AD95" s="359"/>
      <c r="AE95" s="359"/>
      <c r="AF95" s="359"/>
      <c r="AG95" s="361"/>
      <c r="AH95" s="358"/>
      <c r="AI95" s="359"/>
      <c r="AJ95" s="359"/>
      <c r="AK95" s="359"/>
      <c r="AL95" s="359"/>
      <c r="AM95" s="274"/>
      <c r="AN95" s="274"/>
      <c r="AO95" s="274"/>
      <c r="AP95" s="274"/>
      <c r="AQ95" s="274"/>
      <c r="AR95" s="274"/>
      <c r="AS95" s="274"/>
      <c r="AT95" s="274"/>
      <c r="AU95" s="274"/>
      <c r="AV95" s="274"/>
      <c r="AW95" s="274"/>
      <c r="AX95" s="274"/>
      <c r="AY95" s="276"/>
      <c r="AZ95" s="277"/>
      <c r="BA95" s="277"/>
      <c r="BB95" s="277"/>
      <c r="BC95" s="277"/>
      <c r="BD95" s="277"/>
      <c r="BE95" s="276"/>
      <c r="BF95" s="277"/>
      <c r="BG95" s="277"/>
      <c r="BH95" s="277"/>
      <c r="BI95" s="277"/>
      <c r="BJ95" s="277"/>
      <c r="BK95" s="276"/>
      <c r="BL95" s="274"/>
      <c r="BM95" s="274"/>
      <c r="BN95" s="274"/>
      <c r="BO95" s="274"/>
      <c r="BP95" s="274"/>
      <c r="BQ95" s="278"/>
      <c r="BR95" s="274"/>
      <c r="BS95" s="274"/>
      <c r="BT95" s="274"/>
      <c r="BW95" s="224"/>
      <c r="CC95" s="224"/>
      <c r="CI95" s="224"/>
      <c r="CO95" s="224"/>
      <c r="CU95" s="224"/>
      <c r="DA95" s="224"/>
      <c r="DG95"/>
    </row>
    <row r="96" spans="1:116" ht="15.75" customHeight="1" x14ac:dyDescent="0.2">
      <c r="A96" s="1"/>
      <c r="B96" s="10"/>
      <c r="C96" s="10"/>
      <c r="D96" s="10"/>
      <c r="E96" s="10"/>
      <c r="F96" s="10"/>
      <c r="G96" s="10"/>
      <c r="H96" s="377"/>
      <c r="I96" s="377"/>
      <c r="J96" s="377"/>
      <c r="K96" s="377"/>
      <c r="L96" s="377"/>
      <c r="M96" s="377"/>
      <c r="N96" s="377"/>
      <c r="O96" s="377"/>
      <c r="P96" s="377"/>
      <c r="Q96" s="377"/>
      <c r="R96" s="377"/>
      <c r="S96" s="10"/>
      <c r="T96" s="377"/>
      <c r="U96" s="270"/>
      <c r="V96" s="356"/>
      <c r="W96" s="355"/>
      <c r="X96" s="355"/>
      <c r="Y96" s="355"/>
      <c r="Z96" s="355"/>
      <c r="AA96" s="357"/>
      <c r="AB96" s="355"/>
      <c r="AC96" s="355"/>
      <c r="AD96" s="355"/>
      <c r="AE96" s="355"/>
      <c r="AF96" s="355"/>
      <c r="AG96" s="270"/>
      <c r="AH96" s="356"/>
      <c r="AI96" s="355"/>
      <c r="AJ96" s="355"/>
      <c r="AK96" s="355"/>
      <c r="AL96" s="355"/>
      <c r="AM96" s="89"/>
      <c r="AN96" s="89"/>
      <c r="AO96" s="89"/>
      <c r="AP96" s="89"/>
      <c r="AQ96" s="89"/>
      <c r="AR96" s="89"/>
      <c r="AS96" s="89"/>
      <c r="AT96" s="89"/>
      <c r="AU96" s="89"/>
      <c r="AV96" s="89"/>
      <c r="AW96" s="89"/>
      <c r="AX96" s="89"/>
      <c r="AY96" s="270"/>
      <c r="AZ96" s="10"/>
      <c r="BA96" s="10"/>
      <c r="BB96" s="10"/>
      <c r="BK96" s="8"/>
      <c r="BV96" s="269"/>
    </row>
    <row r="97" spans="1:111" x14ac:dyDescent="0.2">
      <c r="A97" s="1"/>
      <c r="B97" s="10"/>
      <c r="C97" s="10"/>
      <c r="D97" s="10"/>
      <c r="E97" s="10"/>
      <c r="F97" s="10"/>
      <c r="G97" s="10"/>
      <c r="H97" s="377"/>
      <c r="I97" s="377"/>
      <c r="J97" s="377"/>
      <c r="K97" s="377"/>
      <c r="L97" s="377"/>
      <c r="M97" s="377"/>
      <c r="N97" s="377"/>
      <c r="O97" s="377"/>
      <c r="P97" s="377"/>
      <c r="Q97" s="377"/>
      <c r="R97" s="377"/>
      <c r="S97" s="10"/>
      <c r="T97" s="377"/>
      <c r="U97" s="270"/>
      <c r="V97" s="356"/>
      <c r="W97" s="355"/>
      <c r="X97" s="355"/>
      <c r="Y97" s="355"/>
      <c r="Z97" s="355"/>
      <c r="AA97" s="357"/>
      <c r="AB97" s="355"/>
      <c r="AC97" s="355"/>
      <c r="AD97" s="355"/>
      <c r="AE97" s="355"/>
      <c r="AF97" s="355"/>
      <c r="AG97" s="270"/>
      <c r="AH97" s="356"/>
      <c r="AI97" s="355"/>
      <c r="AJ97" s="355"/>
      <c r="AK97" s="355"/>
      <c r="AL97" s="355"/>
      <c r="AM97" s="89"/>
      <c r="AN97" s="89"/>
      <c r="AO97" s="89"/>
      <c r="AP97" s="89"/>
      <c r="AQ97" s="89"/>
      <c r="AR97" s="89"/>
      <c r="AS97" s="89"/>
      <c r="AT97" s="89"/>
      <c r="AU97" s="89"/>
      <c r="AV97" s="89"/>
      <c r="AW97" s="89"/>
      <c r="AX97" s="89"/>
      <c r="AY97" s="270"/>
      <c r="AZ97" s="10"/>
      <c r="BA97" s="10"/>
      <c r="BB97" s="10"/>
      <c r="BK97" s="8"/>
    </row>
    <row r="98" spans="1:111" x14ac:dyDescent="0.2">
      <c r="A98" s="1"/>
      <c r="B98" s="10"/>
      <c r="C98" s="10"/>
      <c r="D98" s="10"/>
      <c r="E98" s="10"/>
      <c r="F98" s="10"/>
      <c r="G98" s="10"/>
      <c r="H98" s="377"/>
      <c r="I98" s="377"/>
      <c r="J98" s="377"/>
      <c r="K98" s="377"/>
      <c r="L98" s="377"/>
      <c r="M98" s="377"/>
      <c r="N98" s="377"/>
      <c r="O98" s="377"/>
      <c r="P98" s="377"/>
      <c r="Q98" s="377"/>
      <c r="R98" s="377"/>
      <c r="S98" s="10"/>
      <c r="T98" s="377"/>
      <c r="U98" s="270"/>
      <c r="V98" s="356"/>
      <c r="W98" s="355"/>
      <c r="X98" s="355"/>
      <c r="Y98" s="355"/>
      <c r="Z98" s="355"/>
      <c r="AA98" s="357"/>
      <c r="AB98" s="355"/>
      <c r="AC98" s="355"/>
      <c r="AD98" s="355"/>
      <c r="AE98" s="355"/>
      <c r="AF98" s="355"/>
      <c r="AG98" s="270"/>
      <c r="AH98" s="356"/>
      <c r="AI98" s="355"/>
      <c r="AJ98" s="355"/>
      <c r="AK98" s="359"/>
      <c r="AL98" s="359"/>
      <c r="AM98" s="274"/>
      <c r="AN98" s="274"/>
      <c r="AO98" s="274"/>
      <c r="AP98" s="274"/>
      <c r="AQ98" s="274"/>
      <c r="AR98" s="274"/>
      <c r="AS98" s="274"/>
      <c r="AT98" s="274"/>
      <c r="AU98" s="274"/>
      <c r="AV98" s="274"/>
      <c r="AW98" s="274"/>
      <c r="AX98" s="274"/>
      <c r="AY98" s="276"/>
      <c r="AZ98" s="277"/>
      <c r="BA98" s="277"/>
      <c r="BB98" s="277"/>
      <c r="BC98" s="277"/>
      <c r="BD98" s="277"/>
      <c r="BE98" s="276"/>
      <c r="BF98" s="277"/>
      <c r="BG98" s="277"/>
      <c r="BH98" s="277"/>
      <c r="BI98" s="277"/>
      <c r="BJ98" s="277"/>
      <c r="BK98" s="276"/>
      <c r="BL98" s="274"/>
      <c r="BM98" s="274"/>
      <c r="BN98" s="274"/>
      <c r="BO98" s="274"/>
      <c r="BP98" s="274"/>
      <c r="BQ98" s="278"/>
      <c r="BR98" s="274"/>
      <c r="BS98" s="274"/>
      <c r="BT98" s="274"/>
      <c r="BU98" s="274"/>
    </row>
    <row r="99" spans="1:111" x14ac:dyDescent="0.2">
      <c r="B99" s="10"/>
      <c r="C99" s="10"/>
      <c r="D99" s="10"/>
      <c r="E99" s="10"/>
      <c r="F99" s="10"/>
      <c r="G99" s="10"/>
      <c r="H99" s="377"/>
      <c r="I99" s="377"/>
      <c r="J99" s="377"/>
      <c r="K99" s="377"/>
      <c r="L99" s="377"/>
      <c r="M99" s="377"/>
      <c r="N99" s="377"/>
      <c r="O99" s="377"/>
      <c r="P99" s="377"/>
      <c r="Q99" s="377"/>
      <c r="R99" s="377"/>
      <c r="S99" s="10"/>
      <c r="T99" s="377"/>
      <c r="U99" s="270"/>
      <c r="V99" s="356"/>
      <c r="W99" s="355"/>
      <c r="X99" s="355"/>
      <c r="Y99" s="355"/>
      <c r="Z99" s="355"/>
      <c r="AA99" s="357"/>
      <c r="AB99" s="355"/>
      <c r="AC99" s="355"/>
      <c r="AD99" s="355"/>
      <c r="AE99" s="355"/>
      <c r="AF99" s="355"/>
      <c r="AG99" s="270"/>
      <c r="AH99" s="356"/>
      <c r="AI99" s="355"/>
      <c r="AJ99" s="355"/>
      <c r="AK99" s="355"/>
      <c r="AL99" s="355"/>
      <c r="AM99" s="89"/>
      <c r="AN99" s="89"/>
      <c r="AO99" s="89"/>
      <c r="AP99" s="89"/>
      <c r="AQ99" s="89"/>
      <c r="AR99" s="89"/>
      <c r="AS99" s="89"/>
      <c r="AT99" s="89"/>
      <c r="AU99" s="89"/>
      <c r="AV99" s="89"/>
      <c r="AW99" s="89"/>
      <c r="AX99" s="89"/>
      <c r="AY99" s="270"/>
      <c r="AZ99" s="10"/>
      <c r="BA99" s="10"/>
      <c r="BB99" s="10"/>
      <c r="DG99"/>
    </row>
    <row r="100" spans="1:111" x14ac:dyDescent="0.2">
      <c r="B100" s="10"/>
      <c r="C100" s="10"/>
      <c r="D100" s="10"/>
      <c r="E100" s="10"/>
      <c r="F100" s="10"/>
      <c r="G100" s="10"/>
      <c r="H100" s="377"/>
      <c r="I100" s="377"/>
      <c r="J100" s="377"/>
      <c r="K100" s="377"/>
      <c r="L100" s="377"/>
      <c r="M100" s="377"/>
      <c r="N100" s="377"/>
      <c r="O100" s="377"/>
      <c r="P100" s="377"/>
      <c r="Q100" s="377"/>
      <c r="R100" s="377"/>
      <c r="S100" s="10"/>
      <c r="T100" s="377"/>
      <c r="U100" s="270"/>
      <c r="V100" s="356"/>
      <c r="W100" s="355"/>
      <c r="X100" s="355"/>
      <c r="Y100" s="355"/>
      <c r="Z100" s="355"/>
      <c r="AA100" s="357"/>
      <c r="AB100" s="355"/>
      <c r="AC100" s="355"/>
      <c r="AD100" s="355"/>
      <c r="AE100" s="355"/>
      <c r="AF100" s="355"/>
      <c r="AG100" s="270"/>
      <c r="AH100" s="356"/>
      <c r="AI100" s="355"/>
      <c r="AJ100" s="355"/>
      <c r="AK100" s="355"/>
      <c r="AL100" s="355"/>
      <c r="AM100" s="89"/>
      <c r="AN100" s="89"/>
      <c r="AO100" s="89"/>
      <c r="AP100" s="89"/>
      <c r="AQ100" s="89"/>
      <c r="AR100" s="89"/>
      <c r="AS100" s="89"/>
      <c r="AT100" s="89"/>
      <c r="AU100" s="89"/>
      <c r="AV100" s="89"/>
      <c r="AW100" s="89"/>
      <c r="AX100" s="89"/>
      <c r="AY100" s="270"/>
      <c r="AZ100" s="10"/>
      <c r="BA100" s="10"/>
      <c r="BB100" s="10"/>
      <c r="DG100"/>
    </row>
    <row r="101" spans="1:111" x14ac:dyDescent="0.2">
      <c r="B101" s="10"/>
      <c r="C101" s="10"/>
      <c r="D101" s="10"/>
      <c r="E101" s="10"/>
      <c r="F101" s="10"/>
      <c r="G101" s="10"/>
      <c r="H101" s="377"/>
      <c r="I101" s="377"/>
      <c r="J101" s="377"/>
      <c r="K101" s="377"/>
      <c r="L101" s="377"/>
      <c r="M101" s="377"/>
      <c r="N101" s="377"/>
      <c r="O101" s="377"/>
      <c r="P101" s="377"/>
      <c r="Q101" s="377"/>
      <c r="R101" s="377"/>
      <c r="S101" s="10"/>
      <c r="T101" s="377"/>
      <c r="U101" s="270"/>
      <c r="V101" s="356"/>
      <c r="W101" s="355"/>
      <c r="X101" s="355"/>
      <c r="Y101" s="355"/>
      <c r="Z101" s="355"/>
      <c r="AA101" s="357"/>
      <c r="AB101" s="355"/>
      <c r="AC101" s="355"/>
      <c r="AD101" s="355"/>
      <c r="AE101" s="355"/>
      <c r="AF101" s="355"/>
      <c r="AG101" s="270"/>
      <c r="AH101" s="356"/>
      <c r="AI101" s="355"/>
      <c r="AJ101" s="355"/>
      <c r="AK101" s="355"/>
      <c r="AL101" s="355"/>
      <c r="AM101" s="89"/>
      <c r="AN101" s="89"/>
      <c r="AO101" s="89"/>
      <c r="AP101" s="89"/>
      <c r="AQ101" s="89"/>
      <c r="AR101" s="89"/>
      <c r="AS101" s="89"/>
      <c r="AT101" s="89"/>
      <c r="AU101" s="89"/>
      <c r="AV101" s="89"/>
      <c r="AW101" s="89"/>
      <c r="AX101" s="89"/>
      <c r="AY101" s="270"/>
      <c r="AZ101" s="10"/>
      <c r="BA101" s="10"/>
      <c r="BB101" s="10"/>
      <c r="BW101" s="224"/>
      <c r="CC101" s="224"/>
      <c r="CI101" s="224"/>
      <c r="CO101" s="224"/>
      <c r="CU101" s="224"/>
      <c r="DA101" s="224"/>
      <c r="DG101"/>
    </row>
    <row r="102" spans="1:111" x14ac:dyDescent="0.2">
      <c r="B102" s="10"/>
      <c r="C102" s="10"/>
      <c r="D102" s="10"/>
      <c r="E102" s="10"/>
      <c r="F102" s="10"/>
      <c r="G102" s="10"/>
      <c r="H102" s="377"/>
      <c r="I102" s="377"/>
      <c r="J102" s="377"/>
      <c r="K102" s="377"/>
      <c r="L102" s="377"/>
      <c r="M102" s="377"/>
      <c r="N102" s="377"/>
      <c r="O102" s="377"/>
      <c r="P102" s="377"/>
      <c r="Q102" s="377"/>
      <c r="R102" s="377"/>
      <c r="S102" s="10"/>
      <c r="T102" s="377"/>
      <c r="U102" s="270"/>
      <c r="V102" s="356"/>
      <c r="W102" s="355"/>
      <c r="X102" s="355"/>
      <c r="Y102" s="355"/>
      <c r="Z102" s="355"/>
      <c r="AA102" s="357"/>
      <c r="AB102" s="355"/>
      <c r="AC102" s="355"/>
      <c r="AD102" s="355"/>
      <c r="AE102" s="355"/>
      <c r="AF102" s="355"/>
      <c r="AG102" s="270"/>
      <c r="AH102" s="356"/>
      <c r="AI102" s="355"/>
      <c r="AJ102" s="355"/>
      <c r="AK102" s="355"/>
      <c r="AL102" s="355"/>
      <c r="AM102" s="89"/>
      <c r="AN102" s="89"/>
      <c r="AO102" s="89"/>
      <c r="AP102" s="89"/>
      <c r="AQ102" s="89"/>
      <c r="AR102" s="89"/>
      <c r="AS102" s="89"/>
      <c r="AT102" s="89"/>
      <c r="AU102" s="89"/>
      <c r="AV102" s="89"/>
      <c r="AW102" s="89"/>
      <c r="AX102" s="89"/>
      <c r="AY102" s="270"/>
      <c r="AZ102" s="10"/>
      <c r="BA102" s="10"/>
      <c r="BB102" s="10"/>
    </row>
    <row r="103" spans="1:111" x14ac:dyDescent="0.2">
      <c r="B103" s="10"/>
      <c r="C103" s="10"/>
      <c r="D103" s="10"/>
      <c r="E103" s="10"/>
      <c r="F103" s="10"/>
      <c r="G103" s="10"/>
      <c r="H103" s="377"/>
      <c r="I103" s="377"/>
      <c r="J103" s="377"/>
      <c r="K103" s="377"/>
      <c r="L103" s="377"/>
      <c r="M103" s="377"/>
      <c r="N103" s="377"/>
      <c r="O103" s="377"/>
      <c r="P103" s="377"/>
      <c r="Q103" s="377"/>
      <c r="R103" s="377"/>
      <c r="S103" s="10"/>
      <c r="T103" s="377"/>
      <c r="U103" s="270"/>
      <c r="V103" s="356"/>
      <c r="W103" s="355"/>
      <c r="X103" s="355"/>
      <c r="Y103" s="355"/>
      <c r="Z103" s="355"/>
      <c r="AA103" s="357"/>
      <c r="AB103" s="355"/>
      <c r="AC103" s="355"/>
      <c r="AD103" s="355"/>
      <c r="AE103" s="355"/>
      <c r="AF103" s="355"/>
      <c r="AG103" s="270"/>
      <c r="AH103" s="356"/>
      <c r="AI103" s="355"/>
      <c r="AJ103" s="355"/>
      <c r="AK103" s="355"/>
      <c r="AL103" s="355"/>
      <c r="AM103" s="89"/>
      <c r="AN103" s="89"/>
      <c r="AO103" s="89"/>
      <c r="AP103" s="89"/>
      <c r="AQ103" s="89"/>
      <c r="AR103" s="89"/>
      <c r="AS103" s="89"/>
      <c r="AT103" s="89"/>
      <c r="AU103" s="89"/>
      <c r="AV103" s="89"/>
      <c r="AW103" s="89"/>
      <c r="AX103" s="89"/>
      <c r="AY103" s="270"/>
      <c r="AZ103" s="10"/>
      <c r="BA103" s="10"/>
      <c r="BB103" s="10"/>
      <c r="BK103" s="8"/>
    </row>
  </sheetData>
  <mergeCells count="50">
    <mergeCell ref="B23:Y23"/>
    <mergeCell ref="B91:BT91"/>
    <mergeCell ref="B88:BT88"/>
    <mergeCell ref="B90:BT90"/>
    <mergeCell ref="B79:BJ79"/>
    <mergeCell ref="B78:BT78"/>
    <mergeCell ref="B77:BJ77"/>
    <mergeCell ref="B76:BJ76"/>
    <mergeCell ref="B74:BJ74"/>
    <mergeCell ref="B73:BJ73"/>
    <mergeCell ref="B71:BJ71"/>
    <mergeCell ref="B70:BJ70"/>
    <mergeCell ref="B69:BJ69"/>
    <mergeCell ref="B44:BJ44"/>
    <mergeCell ref="B29:BJ29"/>
    <mergeCell ref="B67:BJ67"/>
    <mergeCell ref="B25:AD25"/>
    <mergeCell ref="B24:AD24"/>
    <mergeCell ref="B54:BJ54"/>
    <mergeCell ref="B46:BJ46"/>
    <mergeCell ref="B47:BJ47"/>
    <mergeCell ref="B49:BJ49"/>
    <mergeCell ref="B50:BJ50"/>
    <mergeCell ref="B51:BJ51"/>
    <mergeCell ref="B52:BJ52"/>
    <mergeCell ref="B27:BJ27"/>
    <mergeCell ref="B28:BJ28"/>
    <mergeCell ref="B45:BJ45"/>
    <mergeCell ref="B42:BJ42"/>
    <mergeCell ref="B36:BJ36"/>
    <mergeCell ref="B35:BJ35"/>
    <mergeCell ref="B57:BJ57"/>
    <mergeCell ref="B59:BJ59"/>
    <mergeCell ref="B66:BJ66"/>
    <mergeCell ref="B60:BJ60"/>
    <mergeCell ref="B64:BJ64"/>
    <mergeCell ref="B61:BJ61"/>
    <mergeCell ref="B65:BJ65"/>
    <mergeCell ref="B62:BL62"/>
    <mergeCell ref="B63:BJ63"/>
    <mergeCell ref="B34:BJ34"/>
    <mergeCell ref="B55:BJ55"/>
    <mergeCell ref="B56:BJ56"/>
    <mergeCell ref="B30:BJ30"/>
    <mergeCell ref="B37:BJ37"/>
    <mergeCell ref="B40:BJ40"/>
    <mergeCell ref="B41:BJ41"/>
    <mergeCell ref="B39:BJ39"/>
    <mergeCell ref="B31:BJ31"/>
    <mergeCell ref="B32:BJ32"/>
  </mergeCells>
  <pageMargins left="0.74803149606299213" right="0.74803149606299213" top="0.98425196850393704" bottom="0.98425196850393704" header="0.51181102362204722" footer="0.51181102362204722"/>
  <pageSetup paperSize="9" scale="24" orientation="landscape" horizontalDpi="4294967293" r:id="rId1"/>
  <headerFooter alignWithMargins="0"/>
  <ignoredErrors>
    <ignoredError sqref="R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EA57-FAA6-4177-8ECE-228D915AE8BB}">
  <sheetPr>
    <pageSetUpPr fitToPage="1"/>
  </sheetPr>
  <dimension ref="A1:W91"/>
  <sheetViews>
    <sheetView showGridLines="0" zoomScaleNormal="100" zoomScaleSheetLayoutView="115" workbookViewId="0">
      <selection activeCell="A4" sqref="A4:XFD4"/>
    </sheetView>
  </sheetViews>
  <sheetFormatPr defaultRowHeight="12.75" x14ac:dyDescent="0.2"/>
  <cols>
    <col min="1" max="1" width="3.5703125" customWidth="1"/>
    <col min="2" max="2" width="57.140625" customWidth="1"/>
    <col min="3" max="3" width="20.7109375" style="225" customWidth="1"/>
    <col min="4" max="4" width="18.28515625" bestFit="1" customWidth="1"/>
    <col min="5" max="5" width="18.28515625" style="337" bestFit="1" customWidth="1"/>
    <col min="6" max="6" width="29.140625" style="337" bestFit="1" customWidth="1"/>
    <col min="7" max="19" width="18.28515625" style="74" bestFit="1" customWidth="1"/>
  </cols>
  <sheetData>
    <row r="1" spans="2:23" ht="26.25" x14ac:dyDescent="0.4">
      <c r="B1" s="2" t="s">
        <v>106</v>
      </c>
      <c r="C1" s="313"/>
      <c r="D1" s="2"/>
      <c r="E1" s="332"/>
      <c r="F1" s="332"/>
      <c r="G1" s="80"/>
      <c r="H1" s="80"/>
      <c r="I1" s="80"/>
      <c r="J1" s="80"/>
      <c r="K1" s="80"/>
      <c r="L1" s="80"/>
      <c r="M1" s="80"/>
      <c r="N1" s="80"/>
      <c r="O1" s="80"/>
      <c r="P1" s="80"/>
      <c r="Q1" s="80"/>
      <c r="R1" s="80"/>
      <c r="S1" s="307"/>
    </row>
    <row r="2" spans="2:23" x14ac:dyDescent="0.2">
      <c r="B2" s="10"/>
      <c r="C2" s="356"/>
      <c r="D2" s="10"/>
      <c r="E2" s="355"/>
      <c r="F2" s="355"/>
      <c r="G2" s="89"/>
      <c r="H2" s="89"/>
      <c r="I2" s="89"/>
      <c r="J2" s="89"/>
    </row>
    <row r="3" spans="2:23" ht="13.5" thickBot="1" x14ac:dyDescent="0.25">
      <c r="B3" s="10"/>
      <c r="C3" s="356"/>
      <c r="D3" s="10"/>
      <c r="E3" s="355"/>
      <c r="F3" s="355"/>
      <c r="G3" s="89"/>
      <c r="H3" s="89"/>
      <c r="I3" s="89"/>
      <c r="J3" s="89"/>
    </row>
    <row r="4" spans="2:23" s="9" customFormat="1" ht="25.5" customHeight="1" thickBot="1" x14ac:dyDescent="0.25">
      <c r="B4" s="198" t="s">
        <v>44</v>
      </c>
      <c r="C4" s="203" t="s">
        <v>380</v>
      </c>
      <c r="D4" s="203" t="s">
        <v>381</v>
      </c>
      <c r="E4" s="203" t="s">
        <v>382</v>
      </c>
      <c r="F4" s="203" t="s">
        <v>383</v>
      </c>
      <c r="G4" s="203" t="s">
        <v>384</v>
      </c>
      <c r="H4" s="203" t="s">
        <v>385</v>
      </c>
      <c r="I4" s="203" t="s">
        <v>386</v>
      </c>
      <c r="J4" s="203" t="s">
        <v>387</v>
      </c>
      <c r="K4" s="203" t="s">
        <v>388</v>
      </c>
      <c r="L4" s="203" t="s">
        <v>389</v>
      </c>
      <c r="M4" s="203" t="s">
        <v>390</v>
      </c>
      <c r="N4" s="203" t="s">
        <v>391</v>
      </c>
      <c r="O4" s="203" t="s">
        <v>392</v>
      </c>
      <c r="P4" s="203" t="s">
        <v>393</v>
      </c>
      <c r="Q4" s="203" t="s">
        <v>394</v>
      </c>
      <c r="R4" s="203" t="s">
        <v>395</v>
      </c>
      <c r="S4" s="203" t="s">
        <v>396</v>
      </c>
    </row>
    <row r="5" spans="2:23" ht="22.5" customHeight="1" x14ac:dyDescent="0.2">
      <c r="B5" s="14" t="s">
        <v>16</v>
      </c>
      <c r="C5" s="301">
        <f>C27+C28-C55</f>
        <v>259.95900000000006</v>
      </c>
      <c r="D5" s="394">
        <v>292.3</v>
      </c>
      <c r="E5" s="394">
        <v>214.9</v>
      </c>
      <c r="F5" s="394">
        <v>188.5</v>
      </c>
      <c r="G5" s="90">
        <v>188.5</v>
      </c>
      <c r="H5" s="90">
        <v>250.8</v>
      </c>
      <c r="I5" s="83">
        <v>251.3</v>
      </c>
      <c r="J5" s="83">
        <v>231.6</v>
      </c>
      <c r="K5" s="26">
        <v>261.7</v>
      </c>
      <c r="L5" s="26">
        <v>277.7</v>
      </c>
      <c r="M5" s="26">
        <v>303.10000000000002</v>
      </c>
      <c r="N5" s="26">
        <v>246.9</v>
      </c>
      <c r="O5" s="26">
        <v>277.39999999999998</v>
      </c>
      <c r="P5" s="26">
        <v>266.7</v>
      </c>
      <c r="Q5" s="26">
        <v>287.5</v>
      </c>
      <c r="R5" s="26">
        <v>327.10000000000002</v>
      </c>
      <c r="S5" s="26">
        <v>368.3</v>
      </c>
      <c r="T5" s="37"/>
    </row>
    <row r="6" spans="2:23" ht="22.5" customHeight="1" x14ac:dyDescent="0.2">
      <c r="B6" t="s">
        <v>310</v>
      </c>
      <c r="C6" s="30">
        <f>C34+C35</f>
        <v>122.738</v>
      </c>
      <c r="D6" s="314">
        <f>109.088+38.997</f>
        <v>148.08499999999998</v>
      </c>
      <c r="E6" s="314">
        <f>E34+E35</f>
        <v>152.53100000000001</v>
      </c>
      <c r="F6" s="314">
        <f>F34+F35</f>
        <v>167.62899999999999</v>
      </c>
      <c r="G6" s="25">
        <f>G34+G35</f>
        <v>167.62899999999999</v>
      </c>
      <c r="H6" s="25">
        <f>H34+H35</f>
        <v>191.60599999999999</v>
      </c>
      <c r="I6" s="25">
        <f>I34</f>
        <v>176.89099999999999</v>
      </c>
      <c r="J6" s="25">
        <f t="shared" ref="J6:S6" si="0">J34</f>
        <v>188.30199999999999</v>
      </c>
      <c r="K6" s="25">
        <f t="shared" si="0"/>
        <v>197.6</v>
      </c>
      <c r="L6" s="25">
        <f t="shared" si="0"/>
        <v>197.5</v>
      </c>
      <c r="M6" s="25">
        <f t="shared" si="0"/>
        <v>203.3</v>
      </c>
      <c r="N6" s="25">
        <f t="shared" si="0"/>
        <v>198.2</v>
      </c>
      <c r="O6" s="25">
        <f t="shared" si="0"/>
        <v>204.71299999999999</v>
      </c>
      <c r="P6" s="25">
        <f t="shared" si="0"/>
        <v>208.274</v>
      </c>
      <c r="Q6" s="25">
        <f t="shared" si="0"/>
        <v>203.68</v>
      </c>
      <c r="R6" s="25">
        <f t="shared" si="0"/>
        <v>208.57900000000001</v>
      </c>
      <c r="S6" s="25">
        <f t="shared" si="0"/>
        <v>228.75800000000001</v>
      </c>
      <c r="T6" s="37"/>
    </row>
    <row r="7" spans="2:23" ht="22.5" customHeight="1" x14ac:dyDescent="0.2">
      <c r="B7" t="s">
        <v>330</v>
      </c>
      <c r="C7" s="30">
        <f>C36+C37</f>
        <v>141.79900000000001</v>
      </c>
      <c r="D7" s="314">
        <f>132.993+34.895</f>
        <v>167.88800000000001</v>
      </c>
      <c r="E7" s="314">
        <f>E36+E37</f>
        <v>174.51999999999998</v>
      </c>
      <c r="F7" s="314">
        <f>F36+F37</f>
        <v>175.17699999999999</v>
      </c>
      <c r="G7" s="25">
        <f>G36+G37</f>
        <v>179.24599999999998</v>
      </c>
      <c r="H7" s="25">
        <f>H36</f>
        <v>48.975999999999999</v>
      </c>
      <c r="I7" s="25">
        <f>I36+I37</f>
        <v>284.75299999999999</v>
      </c>
      <c r="J7" s="25">
        <f t="shared" ref="J7:S7" si="1">J36+J37</f>
        <v>284.98500000000001</v>
      </c>
      <c r="K7" s="25">
        <f t="shared" si="1"/>
        <v>512.4</v>
      </c>
      <c r="L7" s="25">
        <f t="shared" si="1"/>
        <v>646.19999999999993</v>
      </c>
      <c r="M7" s="25">
        <f t="shared" si="1"/>
        <v>637.9</v>
      </c>
      <c r="N7" s="25">
        <f t="shared" si="1"/>
        <v>584.80000000000007</v>
      </c>
      <c r="O7" s="25">
        <f t="shared" si="1"/>
        <v>603.69200000000001</v>
      </c>
      <c r="P7" s="25">
        <f t="shared" si="1"/>
        <v>576.27299999999991</v>
      </c>
      <c r="Q7" s="25">
        <f t="shared" si="1"/>
        <v>563.74400000000003</v>
      </c>
      <c r="R7" s="25">
        <f t="shared" si="1"/>
        <v>536.52499999999998</v>
      </c>
      <c r="S7" s="25">
        <f t="shared" si="1"/>
        <v>829.93399999999997</v>
      </c>
      <c r="T7" s="37"/>
    </row>
    <row r="8" spans="2:23" ht="12.75" hidden="1" customHeight="1" x14ac:dyDescent="0.2">
      <c r="B8" t="s">
        <v>17</v>
      </c>
      <c r="C8" s="412"/>
      <c r="D8" s="395"/>
      <c r="E8" s="395"/>
      <c r="F8" s="395"/>
      <c r="G8" s="26"/>
      <c r="H8" s="26">
        <f>191.6+49</f>
        <v>240.6</v>
      </c>
      <c r="I8" s="74">
        <v>461.6</v>
      </c>
      <c r="J8" s="74">
        <f>188.3+285</f>
        <v>473.3</v>
      </c>
      <c r="K8" s="26">
        <f>197.6+512.4</f>
        <v>710</v>
      </c>
      <c r="L8" s="26">
        <f>197.5+646.2</f>
        <v>843.7</v>
      </c>
      <c r="M8" s="26">
        <v>841.2</v>
      </c>
      <c r="N8" s="26">
        <v>783</v>
      </c>
      <c r="O8" s="26">
        <v>808.3</v>
      </c>
      <c r="P8" s="26">
        <v>784.6</v>
      </c>
      <c r="Q8" s="26">
        <v>767.40000000000009</v>
      </c>
      <c r="R8" s="26">
        <v>745.1</v>
      </c>
      <c r="S8" s="26">
        <v>1058.7</v>
      </c>
      <c r="T8" s="37"/>
    </row>
    <row r="9" spans="2:23" ht="22.5" customHeight="1" x14ac:dyDescent="0.2">
      <c r="B9" t="s">
        <v>19</v>
      </c>
      <c r="C9" s="467" t="s">
        <v>57</v>
      </c>
      <c r="D9" s="395">
        <v>2.2999999999999998</v>
      </c>
      <c r="E9" s="395">
        <v>2.2999999999999998</v>
      </c>
      <c r="F9" s="395">
        <v>6.6</v>
      </c>
      <c r="G9" s="26">
        <v>6.6</v>
      </c>
      <c r="H9" s="26">
        <v>5.5</v>
      </c>
      <c r="I9" s="26" t="s">
        <v>57</v>
      </c>
      <c r="J9" s="26">
        <v>1.3</v>
      </c>
      <c r="K9" s="26">
        <v>1.5</v>
      </c>
      <c r="L9" s="26">
        <v>9.9</v>
      </c>
      <c r="M9" s="26" t="s">
        <v>57</v>
      </c>
      <c r="N9" s="26" t="s">
        <v>57</v>
      </c>
      <c r="O9" s="26" t="s">
        <v>57</v>
      </c>
      <c r="P9" s="26" t="s">
        <v>57</v>
      </c>
      <c r="Q9" s="26" t="s">
        <v>57</v>
      </c>
      <c r="R9" s="26" t="s">
        <v>57</v>
      </c>
      <c r="S9" s="26" t="s">
        <v>57</v>
      </c>
      <c r="T9" s="37"/>
      <c r="W9" s="307"/>
    </row>
    <row r="10" spans="2:23" ht="22.5" customHeight="1" x14ac:dyDescent="0.2">
      <c r="B10" t="s">
        <v>20</v>
      </c>
      <c r="C10" s="468">
        <f>C29+C30+C40+C41+C42-C56-C57-C59-C60-C66-C67-C68-C70-C71</f>
        <v>-46.007999999999988</v>
      </c>
      <c r="D10" s="99">
        <v>-58.3</v>
      </c>
      <c r="E10" s="99">
        <f>-19-17.8-47.4</f>
        <v>-84.199999999999989</v>
      </c>
      <c r="F10" s="99">
        <v>-133.5</v>
      </c>
      <c r="G10" s="109">
        <v>-133.5</v>
      </c>
      <c r="H10" s="109">
        <f>-27.1-53.1</f>
        <v>-80.2</v>
      </c>
      <c r="I10" s="109">
        <v>-33.700000000000003</v>
      </c>
      <c r="J10" s="109">
        <f>-28.4-12.9</f>
        <v>-41.3</v>
      </c>
      <c r="K10" s="109">
        <f>-31.4-20.7</f>
        <v>-52.099999999999994</v>
      </c>
      <c r="L10" s="109">
        <f>-31.2-11.6</f>
        <v>-42.8</v>
      </c>
      <c r="M10" s="109">
        <v>-14.400000000000002</v>
      </c>
      <c r="N10" s="109">
        <v>-9.6999999999999993</v>
      </c>
      <c r="O10" s="109">
        <v>-18.5</v>
      </c>
      <c r="P10" s="109">
        <v>-9.1999999999999993</v>
      </c>
      <c r="Q10" s="109">
        <v>-44.9</v>
      </c>
      <c r="R10" s="109">
        <v>-50.2</v>
      </c>
      <c r="S10" s="109">
        <v>-65.900000000000006</v>
      </c>
      <c r="T10" s="37"/>
    </row>
    <row r="11" spans="2:23" ht="12" customHeight="1" x14ac:dyDescent="0.2">
      <c r="C11" s="30"/>
      <c r="D11" s="395"/>
      <c r="E11" s="395"/>
      <c r="F11" s="395"/>
      <c r="G11" s="26"/>
      <c r="H11" s="26"/>
      <c r="I11" s="26"/>
      <c r="J11" s="26"/>
      <c r="K11" s="26"/>
      <c r="L11" s="26"/>
      <c r="M11" s="26"/>
      <c r="N11" s="26"/>
      <c r="O11" s="26"/>
      <c r="P11" s="26"/>
      <c r="Q11" s="26"/>
      <c r="R11" s="26"/>
      <c r="S11" s="26"/>
      <c r="T11" s="37"/>
    </row>
    <row r="12" spans="2:23" s="105" customFormat="1" ht="22.5" customHeight="1" x14ac:dyDescent="0.2">
      <c r="B12" s="106" t="s">
        <v>309</v>
      </c>
      <c r="C12" s="469">
        <f>C16</f>
        <v>478.48599999999999</v>
      </c>
      <c r="D12" s="396">
        <f>SUM(D5:D10)</f>
        <v>552.27300000000002</v>
      </c>
      <c r="E12" s="396">
        <v>460</v>
      </c>
      <c r="F12" s="396">
        <f>SUM(F5:F10)</f>
        <v>404.40600000000006</v>
      </c>
      <c r="G12" s="107">
        <v>408.4</v>
      </c>
      <c r="H12" s="107">
        <v>416.8</v>
      </c>
      <c r="I12" s="107">
        <v>679.2</v>
      </c>
      <c r="J12" s="107">
        <f>J5+J8+J9+J10</f>
        <v>664.9</v>
      </c>
      <c r="K12" s="107">
        <v>921.2</v>
      </c>
      <c r="L12" s="107">
        <v>1088.5</v>
      </c>
      <c r="M12" s="107">
        <v>1137.5</v>
      </c>
      <c r="N12" s="107">
        <v>1028.6000000000001</v>
      </c>
      <c r="O12" s="107">
        <v>1078.0999999999999</v>
      </c>
      <c r="P12" s="111">
        <v>1053.971</v>
      </c>
      <c r="Q12" s="111">
        <v>1023.2000000000002</v>
      </c>
      <c r="R12" s="111">
        <v>1034</v>
      </c>
      <c r="S12" s="111">
        <v>1374.3</v>
      </c>
      <c r="T12" s="108"/>
    </row>
    <row r="13" spans="2:23" ht="22.5" customHeight="1" x14ac:dyDescent="0.2">
      <c r="B13" t="s">
        <v>21</v>
      </c>
      <c r="C13" s="30">
        <v>82.7</v>
      </c>
      <c r="D13" s="397">
        <v>113.4</v>
      </c>
      <c r="E13" s="397">
        <v>94</v>
      </c>
      <c r="F13" s="395">
        <v>222.1</v>
      </c>
      <c r="G13" s="26">
        <v>222.1</v>
      </c>
      <c r="H13" s="26">
        <v>74.8</v>
      </c>
      <c r="I13" s="26">
        <v>32.9</v>
      </c>
      <c r="J13" s="26">
        <v>131.6</v>
      </c>
      <c r="K13" s="26">
        <v>48.4</v>
      </c>
      <c r="L13" s="26">
        <v>89.9</v>
      </c>
      <c r="M13" s="26">
        <v>163.30000000000001</v>
      </c>
      <c r="N13" s="26">
        <v>182.5</v>
      </c>
      <c r="O13" s="26">
        <v>215.3</v>
      </c>
      <c r="P13" s="26">
        <v>238.3</v>
      </c>
      <c r="Q13" s="26">
        <v>256.2</v>
      </c>
      <c r="R13" s="26">
        <v>588</v>
      </c>
      <c r="S13" s="26">
        <v>570</v>
      </c>
      <c r="T13" s="37"/>
    </row>
    <row r="14" spans="2:23" ht="22.5" customHeight="1" x14ac:dyDescent="0.2">
      <c r="B14" t="s">
        <v>22</v>
      </c>
      <c r="C14" s="30">
        <f>C84</f>
        <v>16.585999999999999</v>
      </c>
      <c r="D14" s="99">
        <v>29</v>
      </c>
      <c r="E14" s="99">
        <v>39.299999999999997</v>
      </c>
      <c r="F14" s="99">
        <v>39</v>
      </c>
      <c r="G14" s="109">
        <v>39</v>
      </c>
      <c r="H14" s="109">
        <v>-0.1</v>
      </c>
      <c r="I14" s="26" t="s">
        <v>57</v>
      </c>
      <c r="J14" s="26" t="s">
        <v>57</v>
      </c>
      <c r="K14" s="26" t="s">
        <v>57</v>
      </c>
      <c r="L14" s="26">
        <v>1.1000000000000001</v>
      </c>
      <c r="M14" s="26">
        <v>2.7</v>
      </c>
      <c r="N14" s="110">
        <v>3</v>
      </c>
      <c r="O14" s="26">
        <v>5.0999999999999996</v>
      </c>
      <c r="P14" s="110">
        <v>11.54</v>
      </c>
      <c r="Q14" s="110">
        <v>11</v>
      </c>
      <c r="R14" s="110">
        <v>7.6</v>
      </c>
      <c r="S14" s="110">
        <v>8.4</v>
      </c>
      <c r="T14" s="37"/>
    </row>
    <row r="15" spans="2:23" ht="22.5" customHeight="1" x14ac:dyDescent="0.2">
      <c r="B15" t="s">
        <v>23</v>
      </c>
      <c r="C15" s="470">
        <f>C82</f>
        <v>379.2</v>
      </c>
      <c r="D15" s="99">
        <v>409.9</v>
      </c>
      <c r="E15" s="99">
        <v>326.7</v>
      </c>
      <c r="F15" s="99">
        <v>143.30000000000001</v>
      </c>
      <c r="G15" s="109">
        <v>147.30000000000001</v>
      </c>
      <c r="H15" s="109">
        <v>342.1</v>
      </c>
      <c r="I15" s="26">
        <v>646.29999999999995</v>
      </c>
      <c r="J15" s="26">
        <v>533.20000000000005</v>
      </c>
      <c r="K15" s="26">
        <v>872.8</v>
      </c>
      <c r="L15" s="26">
        <v>997.5</v>
      </c>
      <c r="M15" s="26">
        <v>971.5</v>
      </c>
      <c r="N15" s="110">
        <v>843.1</v>
      </c>
      <c r="O15" s="26">
        <v>857.7</v>
      </c>
      <c r="P15" s="110">
        <v>804.202</v>
      </c>
      <c r="Q15" s="110">
        <v>756</v>
      </c>
      <c r="R15" s="110">
        <v>438.4</v>
      </c>
      <c r="S15" s="110">
        <v>795.9</v>
      </c>
      <c r="T15" s="37"/>
    </row>
    <row r="16" spans="2:23" s="105" customFormat="1" ht="22.5" customHeight="1" x14ac:dyDescent="0.2">
      <c r="B16" s="106" t="s">
        <v>311</v>
      </c>
      <c r="C16" s="469">
        <f>SUM(C13:C15)</f>
        <v>478.48599999999999</v>
      </c>
      <c r="D16" s="396">
        <f>SUM(D13:D15)</f>
        <v>552.29999999999995</v>
      </c>
      <c r="E16" s="396">
        <f>SUM(E13:E15)</f>
        <v>460</v>
      </c>
      <c r="F16" s="396">
        <f>SUM(F13:F15)</f>
        <v>404.40000000000003</v>
      </c>
      <c r="G16" s="107">
        <v>408.4</v>
      </c>
      <c r="H16" s="107">
        <v>416.8</v>
      </c>
      <c r="I16" s="107">
        <v>679.2</v>
      </c>
      <c r="J16" s="107">
        <f>J12</f>
        <v>664.9</v>
      </c>
      <c r="K16" s="107">
        <v>921.2</v>
      </c>
      <c r="L16" s="107">
        <v>1088.5</v>
      </c>
      <c r="M16" s="107">
        <v>1137.5</v>
      </c>
      <c r="N16" s="107">
        <v>1028.6000000000001</v>
      </c>
      <c r="O16" s="107">
        <v>1078.0999999999999</v>
      </c>
      <c r="P16" s="111">
        <v>1053.971</v>
      </c>
      <c r="Q16" s="111">
        <v>1023.2000000000002</v>
      </c>
      <c r="R16" s="111">
        <v>1034</v>
      </c>
      <c r="S16" s="111">
        <v>1374.3</v>
      </c>
      <c r="T16" s="108"/>
    </row>
    <row r="17" spans="2:19" x14ac:dyDescent="0.2">
      <c r="E17" s="395"/>
      <c r="F17" s="395"/>
      <c r="G17" s="26"/>
      <c r="H17" s="26"/>
      <c r="K17" s="91"/>
      <c r="L17" s="91"/>
      <c r="M17" s="91"/>
      <c r="N17" s="91"/>
      <c r="O17" s="91"/>
      <c r="P17" s="91"/>
      <c r="Q17" s="91"/>
      <c r="R17" s="91"/>
      <c r="S17" s="91"/>
    </row>
    <row r="18" spans="2:19" x14ac:dyDescent="0.2">
      <c r="E18" s="395"/>
      <c r="F18" s="395"/>
      <c r="G18" s="26"/>
      <c r="H18" s="26"/>
      <c r="K18" s="91"/>
      <c r="L18" s="91"/>
      <c r="M18" s="91"/>
      <c r="N18" s="91"/>
      <c r="O18" s="91"/>
      <c r="P18" s="91"/>
      <c r="Q18" s="91"/>
      <c r="R18" s="91"/>
      <c r="S18" s="91"/>
    </row>
    <row r="19" spans="2:19" s="43" customFormat="1" ht="26.25" x14ac:dyDescent="0.4">
      <c r="B19" s="41" t="s">
        <v>103</v>
      </c>
      <c r="C19" s="313"/>
      <c r="D19" s="185"/>
      <c r="E19" s="398"/>
      <c r="F19" s="398"/>
      <c r="G19" s="140"/>
      <c r="H19" s="140"/>
      <c r="I19" s="140"/>
      <c r="J19" s="118"/>
      <c r="K19" s="118"/>
      <c r="L19" s="118"/>
      <c r="M19" s="118"/>
      <c r="N19" s="118"/>
      <c r="O19" s="118"/>
      <c r="P19" s="118"/>
      <c r="Q19" s="118"/>
      <c r="R19" s="118"/>
      <c r="S19" s="118"/>
    </row>
    <row r="20" spans="2:19" s="43" customFormat="1" ht="13.5" thickBot="1" x14ac:dyDescent="0.25">
      <c r="C20" s="322"/>
      <c r="D20" s="184"/>
      <c r="E20" s="399"/>
      <c r="F20" s="399"/>
      <c r="G20" s="141"/>
      <c r="H20" s="141"/>
      <c r="I20" s="141"/>
      <c r="J20" s="119"/>
      <c r="K20" s="119"/>
      <c r="L20" s="119"/>
      <c r="M20" s="119"/>
      <c r="N20" s="119"/>
      <c r="O20" s="119"/>
      <c r="P20" s="119"/>
      <c r="Q20" s="119"/>
      <c r="R20" s="119"/>
      <c r="S20" s="119"/>
    </row>
    <row r="21" spans="2:19" s="9" customFormat="1" ht="25.5" customHeight="1" thickBot="1" x14ac:dyDescent="0.25">
      <c r="B21" s="198" t="s">
        <v>44</v>
      </c>
      <c r="C21" s="203" t="s">
        <v>379</v>
      </c>
      <c r="D21" s="203">
        <v>2022</v>
      </c>
      <c r="E21" s="203">
        <v>2021</v>
      </c>
      <c r="F21" s="203" t="s">
        <v>350</v>
      </c>
      <c r="G21" s="203">
        <v>2020</v>
      </c>
      <c r="H21" s="203" t="s">
        <v>56</v>
      </c>
      <c r="I21" s="203">
        <v>2018</v>
      </c>
      <c r="J21" s="203">
        <v>2017</v>
      </c>
      <c r="K21" s="203">
        <v>2016</v>
      </c>
      <c r="L21" s="203">
        <v>2015</v>
      </c>
      <c r="M21" s="203">
        <v>2014</v>
      </c>
      <c r="N21" s="203" t="s">
        <v>8</v>
      </c>
      <c r="O21" s="203" t="s">
        <v>7</v>
      </c>
      <c r="P21" s="203" t="s">
        <v>6</v>
      </c>
      <c r="Q21" s="203" t="s">
        <v>5</v>
      </c>
      <c r="R21" s="203" t="s">
        <v>2</v>
      </c>
      <c r="S21" s="203" t="s">
        <v>3</v>
      </c>
    </row>
    <row r="22" spans="2:19" s="43" customFormat="1" ht="13.5" customHeight="1" x14ac:dyDescent="0.2">
      <c r="B22" s="112"/>
      <c r="C22" s="471"/>
      <c r="D22" s="112"/>
      <c r="E22" s="399"/>
      <c r="F22" s="399"/>
      <c r="G22" s="141"/>
      <c r="H22" s="141"/>
      <c r="I22" s="141"/>
      <c r="J22" s="120"/>
      <c r="K22" s="120"/>
      <c r="L22" s="120"/>
      <c r="M22" s="120"/>
      <c r="N22" s="120"/>
      <c r="O22" s="121"/>
      <c r="P22" s="121"/>
      <c r="Q22" s="121"/>
      <c r="R22" s="121"/>
      <c r="S22" s="120"/>
    </row>
    <row r="23" spans="2:19" s="43" customFormat="1" x14ac:dyDescent="0.2">
      <c r="B23" s="113" t="s">
        <v>58</v>
      </c>
      <c r="C23" s="472"/>
      <c r="D23" s="113"/>
      <c r="E23" s="400"/>
      <c r="F23" s="400"/>
      <c r="G23" s="142"/>
      <c r="H23" s="142"/>
      <c r="I23" s="142"/>
      <c r="J23" s="122"/>
      <c r="K23" s="122"/>
      <c r="L23" s="122"/>
      <c r="M23" s="122"/>
      <c r="N23" s="122"/>
      <c r="O23" s="123"/>
      <c r="P23" s="123"/>
      <c r="Q23" s="123"/>
      <c r="R23" s="123"/>
      <c r="S23" s="122"/>
    </row>
    <row r="24" spans="2:19" s="43" customFormat="1" ht="6" customHeight="1" x14ac:dyDescent="0.2">
      <c r="C24" s="322"/>
      <c r="D24" s="184"/>
      <c r="E24" s="399"/>
      <c r="F24" s="399"/>
      <c r="G24" s="141"/>
      <c r="H24" s="141"/>
      <c r="I24" s="141"/>
      <c r="J24" s="58"/>
      <c r="K24" s="58"/>
      <c r="L24" s="58"/>
      <c r="M24" s="58"/>
      <c r="N24" s="58"/>
      <c r="O24" s="58"/>
      <c r="P24" s="58"/>
      <c r="Q24" s="58"/>
      <c r="R24" s="58"/>
      <c r="S24" s="58"/>
    </row>
    <row r="25" spans="2:19" s="43" customFormat="1" x14ac:dyDescent="0.2">
      <c r="B25" s="48" t="s">
        <v>59</v>
      </c>
      <c r="C25" s="328"/>
      <c r="D25" s="187"/>
      <c r="E25" s="399"/>
      <c r="F25" s="399"/>
      <c r="G25" s="141"/>
      <c r="H25" s="141"/>
      <c r="I25" s="141"/>
      <c r="J25" s="58"/>
      <c r="K25" s="58"/>
      <c r="L25" s="58"/>
      <c r="M25" s="58"/>
      <c r="N25" s="58"/>
      <c r="O25" s="124"/>
      <c r="P25" s="124"/>
      <c r="Q25" s="124"/>
      <c r="R25" s="124"/>
      <c r="S25" s="58"/>
    </row>
    <row r="26" spans="2:19" s="43" customFormat="1" x14ac:dyDescent="0.2">
      <c r="B26" s="54" t="s">
        <v>60</v>
      </c>
      <c r="C26" s="401">
        <v>74.897999999999996</v>
      </c>
      <c r="D26" s="401">
        <v>77.709999999999994</v>
      </c>
      <c r="E26" s="401">
        <v>99.001999999999995</v>
      </c>
      <c r="F26" s="401">
        <v>88.965999999999994</v>
      </c>
      <c r="G26" s="148">
        <v>88.965999999999994</v>
      </c>
      <c r="H26" s="148">
        <v>64.233000000000004</v>
      </c>
      <c r="I26" s="110">
        <v>178.24700000000001</v>
      </c>
      <c r="J26" s="110">
        <v>76.251000000000005</v>
      </c>
      <c r="K26" s="110">
        <v>109</v>
      </c>
      <c r="L26" s="110">
        <v>86.6</v>
      </c>
      <c r="M26" s="110">
        <v>88.6</v>
      </c>
      <c r="N26" s="110">
        <v>82.6</v>
      </c>
      <c r="O26" s="110">
        <v>59.387999999999998</v>
      </c>
      <c r="P26" s="110">
        <v>90.367999999999995</v>
      </c>
      <c r="Q26" s="110">
        <v>88.266999999999996</v>
      </c>
      <c r="R26" s="110">
        <v>37.386000000000003</v>
      </c>
      <c r="S26" s="110">
        <v>53.652999999999999</v>
      </c>
    </row>
    <row r="27" spans="2:19" s="43" customFormat="1" x14ac:dyDescent="0.2">
      <c r="B27" s="54" t="s">
        <v>61</v>
      </c>
      <c r="C27" s="401">
        <v>203.07499999999999</v>
      </c>
      <c r="D27" s="401">
        <v>214.03399999999999</v>
      </c>
      <c r="E27" s="401">
        <v>173.548</v>
      </c>
      <c r="F27" s="401">
        <v>172.642</v>
      </c>
      <c r="G27" s="148">
        <v>172.642</v>
      </c>
      <c r="H27" s="148">
        <v>188.16300000000001</v>
      </c>
      <c r="I27" s="110">
        <v>184.35599999999999</v>
      </c>
      <c r="J27" s="110">
        <v>178.745</v>
      </c>
      <c r="K27" s="110">
        <v>237.4</v>
      </c>
      <c r="L27" s="110">
        <v>243.8</v>
      </c>
      <c r="M27" s="110">
        <v>266.3</v>
      </c>
      <c r="N27" s="110">
        <v>239</v>
      </c>
      <c r="O27" s="110">
        <v>280.44200000000001</v>
      </c>
      <c r="P27" s="110">
        <f>272.153-25.167</f>
        <v>246.98600000000002</v>
      </c>
      <c r="Q27" s="110">
        <v>271.31700000000001</v>
      </c>
      <c r="R27" s="110">
        <v>268.75</v>
      </c>
      <c r="S27" s="110">
        <v>301.56200000000001</v>
      </c>
    </row>
    <row r="28" spans="2:19" s="43" customFormat="1" x14ac:dyDescent="0.2">
      <c r="B28" s="54" t="s">
        <v>62</v>
      </c>
      <c r="C28" s="401">
        <v>228.99100000000001</v>
      </c>
      <c r="D28" s="401">
        <v>258.98</v>
      </c>
      <c r="E28" s="401">
        <v>234.43</v>
      </c>
      <c r="F28" s="401">
        <v>197.285</v>
      </c>
      <c r="G28" s="148">
        <v>197.285</v>
      </c>
      <c r="H28" s="148">
        <v>235.80099999999999</v>
      </c>
      <c r="I28" s="110">
        <v>237.71</v>
      </c>
      <c r="J28" s="110">
        <v>257.71699999999998</v>
      </c>
      <c r="K28" s="110">
        <v>272.8</v>
      </c>
      <c r="L28" s="110">
        <v>254.1</v>
      </c>
      <c r="M28" s="110">
        <v>247.6</v>
      </c>
      <c r="N28" s="110">
        <v>212.8</v>
      </c>
      <c r="O28" s="110">
        <v>207.63900000000001</v>
      </c>
      <c r="P28" s="110">
        <v>219.73500000000001</v>
      </c>
      <c r="Q28" s="110">
        <v>220.44300000000001</v>
      </c>
      <c r="R28" s="110">
        <v>208.37299999999999</v>
      </c>
      <c r="S28" s="110">
        <v>272.10199999999998</v>
      </c>
    </row>
    <row r="29" spans="2:19" s="43" customFormat="1" x14ac:dyDescent="0.2">
      <c r="B29" s="43" t="s">
        <v>63</v>
      </c>
      <c r="C29" s="401">
        <v>0.58499999999999996</v>
      </c>
      <c r="D29" s="30">
        <v>0.69799999999999995</v>
      </c>
      <c r="E29" s="30">
        <v>1.5029999999999999</v>
      </c>
      <c r="F29" s="30">
        <v>0.59899999999999998</v>
      </c>
      <c r="G29" s="91">
        <v>0.59899999999999998</v>
      </c>
      <c r="H29" s="91">
        <v>0.11799999999999999</v>
      </c>
      <c r="I29" s="110">
        <v>0.38900000000000001</v>
      </c>
      <c r="J29" s="110">
        <v>0.14199999999999999</v>
      </c>
      <c r="K29" s="110">
        <v>2</v>
      </c>
      <c r="L29" s="110">
        <v>1.7</v>
      </c>
      <c r="M29" s="110">
        <v>1.6</v>
      </c>
      <c r="N29" s="110">
        <v>0</v>
      </c>
      <c r="O29" s="110">
        <v>0.126</v>
      </c>
      <c r="P29" s="110">
        <v>2E-3</v>
      </c>
      <c r="Q29" s="110">
        <v>0</v>
      </c>
      <c r="R29" s="110">
        <v>0</v>
      </c>
      <c r="S29" s="110">
        <v>0.77200000000000002</v>
      </c>
    </row>
    <row r="30" spans="2:19" s="43" customFormat="1" x14ac:dyDescent="0.2">
      <c r="B30" s="43" t="s">
        <v>64</v>
      </c>
      <c r="C30" s="401">
        <v>40.119</v>
      </c>
      <c r="D30" s="401">
        <v>44.878</v>
      </c>
      <c r="E30" s="401">
        <v>53.405999999999999</v>
      </c>
      <c r="F30" s="401">
        <v>55.533000000000001</v>
      </c>
      <c r="G30" s="148">
        <v>55.533000000000001</v>
      </c>
      <c r="H30" s="148">
        <v>43.280999999999999</v>
      </c>
      <c r="I30" s="110">
        <v>52.582000000000001</v>
      </c>
      <c r="J30" s="110">
        <v>91.759</v>
      </c>
      <c r="K30" s="110">
        <v>60.8</v>
      </c>
      <c r="L30" s="110">
        <v>54.2</v>
      </c>
      <c r="M30" s="110">
        <v>49.6</v>
      </c>
      <c r="N30" s="110">
        <v>59.8</v>
      </c>
      <c r="O30" s="110">
        <v>42.344000000000001</v>
      </c>
      <c r="P30" s="110">
        <v>58.735999999999997</v>
      </c>
      <c r="Q30" s="110">
        <v>60.470999999999997</v>
      </c>
      <c r="R30" s="110">
        <v>64.311000000000007</v>
      </c>
      <c r="S30" s="110">
        <v>50.703000000000003</v>
      </c>
    </row>
    <row r="31" spans="2:19" s="115" customFormat="1" ht="15" customHeight="1" x14ac:dyDescent="0.2">
      <c r="B31" s="114" t="s">
        <v>65</v>
      </c>
      <c r="C31" s="473">
        <f>SUM(C26:C30)</f>
        <v>547.66799999999989</v>
      </c>
      <c r="D31" s="396">
        <f>SUM(D26:D30)</f>
        <v>596.29999999999995</v>
      </c>
      <c r="E31" s="396">
        <f>SUM(E26:E30)</f>
        <v>561.88900000000001</v>
      </c>
      <c r="F31" s="396">
        <f>SUM(F26:F30)</f>
        <v>515.02499999999998</v>
      </c>
      <c r="G31" s="111">
        <f>SUM(G26:G30)</f>
        <v>515.02499999999998</v>
      </c>
      <c r="H31" s="111">
        <v>531.59699999999998</v>
      </c>
      <c r="I31" s="111">
        <f>SUM(I26:I30)</f>
        <v>653.28399999999999</v>
      </c>
      <c r="J31" s="111">
        <f>SUM(J26:J30)</f>
        <v>604.61400000000003</v>
      </c>
      <c r="K31" s="111">
        <v>682.1</v>
      </c>
      <c r="L31" s="111">
        <f t="shared" ref="L31:S31" si="2">SUM(L26:L30)</f>
        <v>640.40000000000009</v>
      </c>
      <c r="M31" s="111">
        <f t="shared" si="2"/>
        <v>653.70000000000005</v>
      </c>
      <c r="N31" s="111">
        <f t="shared" si="2"/>
        <v>594.20000000000005</v>
      </c>
      <c r="O31" s="111">
        <f t="shared" si="2"/>
        <v>589.93900000000008</v>
      </c>
      <c r="P31" s="111">
        <f t="shared" si="2"/>
        <v>615.827</v>
      </c>
      <c r="Q31" s="111">
        <f t="shared" si="2"/>
        <v>640.49800000000005</v>
      </c>
      <c r="R31" s="111">
        <f t="shared" si="2"/>
        <v>578.82000000000005</v>
      </c>
      <c r="S31" s="111">
        <f t="shared" si="2"/>
        <v>678.79200000000003</v>
      </c>
    </row>
    <row r="32" spans="2:19" s="43" customFormat="1" x14ac:dyDescent="0.2">
      <c r="C32" s="322"/>
      <c r="D32" s="184"/>
      <c r="E32" s="402"/>
      <c r="F32" s="402"/>
      <c r="G32" s="143"/>
      <c r="H32" s="143"/>
      <c r="I32" s="143"/>
      <c r="J32" s="125"/>
      <c r="K32" s="125"/>
      <c r="L32" s="125"/>
      <c r="M32" s="125"/>
      <c r="N32" s="125"/>
      <c r="O32" s="128"/>
      <c r="P32" s="128"/>
      <c r="Q32" s="128"/>
      <c r="R32" s="128"/>
      <c r="S32" s="58"/>
    </row>
    <row r="33" spans="2:19" s="43" customFormat="1" x14ac:dyDescent="0.2">
      <c r="B33" s="48" t="s">
        <v>66</v>
      </c>
      <c r="C33" s="328"/>
      <c r="D33" s="187"/>
      <c r="E33" s="403"/>
      <c r="F33" s="403"/>
      <c r="G33" s="144"/>
      <c r="H33" s="144"/>
      <c r="I33" s="144"/>
      <c r="J33" s="129"/>
      <c r="K33" s="129"/>
      <c r="L33" s="129"/>
      <c r="M33" s="129"/>
      <c r="N33" s="129"/>
      <c r="O33" s="130"/>
      <c r="P33" s="130"/>
      <c r="Q33" s="130"/>
      <c r="R33" s="130"/>
      <c r="S33" s="58"/>
    </row>
    <row r="34" spans="2:19" s="43" customFormat="1" x14ac:dyDescent="0.2">
      <c r="B34" s="43" t="s">
        <v>67</v>
      </c>
      <c r="C34" s="401">
        <v>88.75</v>
      </c>
      <c r="D34" s="397">
        <v>109.08799999999999</v>
      </c>
      <c r="E34" s="397">
        <v>115.613</v>
      </c>
      <c r="F34" s="397">
        <v>128.821</v>
      </c>
      <c r="G34" s="110">
        <v>128.821</v>
      </c>
      <c r="H34" s="110">
        <v>149.387</v>
      </c>
      <c r="I34" s="110">
        <v>176.89099999999999</v>
      </c>
      <c r="J34" s="110">
        <v>188.30199999999999</v>
      </c>
      <c r="K34" s="110">
        <v>197.6</v>
      </c>
      <c r="L34" s="110">
        <v>197.5</v>
      </c>
      <c r="M34" s="110">
        <v>203.3</v>
      </c>
      <c r="N34" s="110">
        <v>198.2</v>
      </c>
      <c r="O34" s="110">
        <v>204.71299999999999</v>
      </c>
      <c r="P34" s="110">
        <v>208.274</v>
      </c>
      <c r="Q34" s="110">
        <v>203.68</v>
      </c>
      <c r="R34" s="110">
        <v>208.57900000000001</v>
      </c>
      <c r="S34" s="110">
        <v>228.75800000000001</v>
      </c>
    </row>
    <row r="35" spans="2:19" s="43" customFormat="1" x14ac:dyDescent="0.2">
      <c r="B35" t="s">
        <v>104</v>
      </c>
      <c r="C35" s="401">
        <v>33.988</v>
      </c>
      <c r="D35" s="397">
        <v>38.997</v>
      </c>
      <c r="E35" s="397">
        <v>36.917999999999999</v>
      </c>
      <c r="F35" s="397">
        <v>38.808</v>
      </c>
      <c r="G35" s="110">
        <v>38.808</v>
      </c>
      <c r="H35" s="110">
        <v>42.219000000000001</v>
      </c>
      <c r="I35" s="110" t="s">
        <v>57</v>
      </c>
      <c r="J35" s="110" t="s">
        <v>57</v>
      </c>
      <c r="K35" s="110" t="s">
        <v>57</v>
      </c>
      <c r="L35" s="110" t="s">
        <v>57</v>
      </c>
      <c r="M35" s="110" t="s">
        <v>57</v>
      </c>
      <c r="N35" s="110" t="s">
        <v>57</v>
      </c>
      <c r="O35" s="110" t="s">
        <v>57</v>
      </c>
      <c r="P35" s="110" t="s">
        <v>57</v>
      </c>
      <c r="Q35" s="110" t="s">
        <v>57</v>
      </c>
      <c r="R35" s="110" t="s">
        <v>57</v>
      </c>
      <c r="S35" s="110" t="s">
        <v>57</v>
      </c>
    </row>
    <row r="36" spans="2:19" s="43" customFormat="1" x14ac:dyDescent="0.2">
      <c r="B36" s="43" t="s">
        <v>68</v>
      </c>
      <c r="C36" s="401">
        <v>108.117</v>
      </c>
      <c r="D36" s="397">
        <v>132.99299999999999</v>
      </c>
      <c r="E36" s="397">
        <v>141.65899999999999</v>
      </c>
      <c r="F36" s="404">
        <v>144.846</v>
      </c>
      <c r="G36" s="110">
        <v>148.91499999999999</v>
      </c>
      <c r="H36" s="110">
        <v>48.975999999999999</v>
      </c>
      <c r="I36" s="110">
        <v>58.485999999999997</v>
      </c>
      <c r="J36" s="110">
        <v>64.569000000000003</v>
      </c>
      <c r="K36" s="110">
        <v>64.099999999999994</v>
      </c>
      <c r="L36" s="110">
        <v>62.3</v>
      </c>
      <c r="M36" s="110">
        <v>54.8</v>
      </c>
      <c r="N36" s="110">
        <v>48.7</v>
      </c>
      <c r="O36" s="110">
        <v>45.646000000000001</v>
      </c>
      <c r="P36" s="110">
        <v>11.712999999999999</v>
      </c>
      <c r="Q36" s="110">
        <v>13.731</v>
      </c>
      <c r="R36" s="110">
        <v>18.106000000000002</v>
      </c>
      <c r="S36" s="110">
        <v>22.725000000000001</v>
      </c>
    </row>
    <row r="37" spans="2:19" s="43" customFormat="1" x14ac:dyDescent="0.2">
      <c r="B37" s="43" t="s">
        <v>69</v>
      </c>
      <c r="C37" s="401">
        <v>33.682000000000002</v>
      </c>
      <c r="D37" s="397">
        <v>34.895000000000003</v>
      </c>
      <c r="E37" s="397">
        <v>32.860999999999997</v>
      </c>
      <c r="F37" s="397">
        <v>30.331</v>
      </c>
      <c r="G37" s="110">
        <v>30.331</v>
      </c>
      <c r="H37" s="110" t="s">
        <v>57</v>
      </c>
      <c r="I37" s="110">
        <v>226.267</v>
      </c>
      <c r="J37" s="110">
        <v>220.416</v>
      </c>
      <c r="K37" s="110">
        <v>448.3</v>
      </c>
      <c r="L37" s="110">
        <v>583.9</v>
      </c>
      <c r="M37" s="110">
        <v>583.1</v>
      </c>
      <c r="N37" s="110">
        <v>536.1</v>
      </c>
      <c r="O37" s="110">
        <v>558.04600000000005</v>
      </c>
      <c r="P37" s="110">
        <v>564.55999999999995</v>
      </c>
      <c r="Q37" s="110">
        <v>550.01300000000003</v>
      </c>
      <c r="R37" s="110">
        <v>518.41899999999998</v>
      </c>
      <c r="S37" s="110">
        <v>807.20899999999995</v>
      </c>
    </row>
    <row r="38" spans="2:19" s="43" customFormat="1" x14ac:dyDescent="0.2">
      <c r="B38" s="43" t="s">
        <v>70</v>
      </c>
      <c r="C38" s="474" t="s">
        <v>57</v>
      </c>
      <c r="D38" s="405" t="s">
        <v>57</v>
      </c>
      <c r="E38" s="405" t="s">
        <v>57</v>
      </c>
      <c r="F38" s="405" t="s">
        <v>57</v>
      </c>
      <c r="G38" s="308" t="s">
        <v>57</v>
      </c>
      <c r="H38" s="110" t="s">
        <v>57</v>
      </c>
      <c r="I38" s="110" t="s">
        <v>57</v>
      </c>
      <c r="J38" s="110" t="s">
        <v>57</v>
      </c>
      <c r="K38" s="110" t="s">
        <v>57</v>
      </c>
      <c r="L38" s="110" t="s">
        <v>57</v>
      </c>
      <c r="M38" s="110">
        <v>7.6</v>
      </c>
      <c r="N38" s="110">
        <v>8.4</v>
      </c>
      <c r="O38" s="110">
        <v>10.916</v>
      </c>
      <c r="P38" s="110">
        <v>11.871</v>
      </c>
      <c r="Q38" s="110">
        <v>13.202</v>
      </c>
      <c r="R38" s="110">
        <v>12.032</v>
      </c>
      <c r="S38" s="110">
        <v>12.298</v>
      </c>
    </row>
    <row r="39" spans="2:19" s="43" customFormat="1" x14ac:dyDescent="0.2">
      <c r="B39" s="54" t="s">
        <v>71</v>
      </c>
      <c r="C39" s="474" t="s">
        <v>57</v>
      </c>
      <c r="D39" s="405" t="s">
        <v>57</v>
      </c>
      <c r="E39" s="405" t="s">
        <v>57</v>
      </c>
      <c r="F39" s="405" t="s">
        <v>57</v>
      </c>
      <c r="G39" s="308" t="s">
        <v>57</v>
      </c>
      <c r="H39" s="110" t="s">
        <v>57</v>
      </c>
      <c r="I39" s="110" t="s">
        <v>57</v>
      </c>
      <c r="J39" s="110" t="s">
        <v>57</v>
      </c>
      <c r="K39" s="110" t="s">
        <v>57</v>
      </c>
      <c r="L39" s="110" t="s">
        <v>57</v>
      </c>
      <c r="M39" s="110" t="s">
        <v>57</v>
      </c>
      <c r="N39" s="110">
        <v>0.2</v>
      </c>
      <c r="O39" s="110">
        <v>0.245</v>
      </c>
      <c r="P39" s="110">
        <v>0.19400000000000001</v>
      </c>
      <c r="Q39" s="110">
        <v>0.54</v>
      </c>
      <c r="R39" s="110">
        <v>0.80600000000000005</v>
      </c>
      <c r="S39" s="110">
        <v>0.86099999999999999</v>
      </c>
    </row>
    <row r="40" spans="2:19" s="43" customFormat="1" x14ac:dyDescent="0.2">
      <c r="B40" s="43" t="s">
        <v>72</v>
      </c>
      <c r="C40" s="401">
        <v>35.32</v>
      </c>
      <c r="D40" s="397">
        <v>36.274000000000001</v>
      </c>
      <c r="E40" s="397">
        <v>37.441000000000003</v>
      </c>
      <c r="F40" s="397">
        <v>38.084000000000003</v>
      </c>
      <c r="G40" s="110">
        <v>38.084000000000003</v>
      </c>
      <c r="H40" s="110">
        <v>41.722999999999999</v>
      </c>
      <c r="I40" s="110">
        <v>63.247999999999998</v>
      </c>
      <c r="J40" s="110">
        <v>69.103999999999999</v>
      </c>
      <c r="K40" s="110">
        <v>96.8</v>
      </c>
      <c r="L40" s="110">
        <v>93.6</v>
      </c>
      <c r="M40" s="110">
        <v>92.5</v>
      </c>
      <c r="N40" s="110">
        <v>77.2</v>
      </c>
      <c r="O40" s="110">
        <v>76.986999999999995</v>
      </c>
      <c r="P40" s="110">
        <v>61.143000000000001</v>
      </c>
      <c r="Q40" s="110">
        <v>50.704999999999998</v>
      </c>
      <c r="R40" s="110">
        <v>41.718000000000004</v>
      </c>
      <c r="S40" s="110">
        <v>53.433999999999997</v>
      </c>
    </row>
    <row r="41" spans="2:19" s="43" customFormat="1" x14ac:dyDescent="0.2">
      <c r="B41" s="43" t="s">
        <v>73</v>
      </c>
      <c r="C41" s="401">
        <v>0.27100000000000002</v>
      </c>
      <c r="D41" s="405">
        <v>0.78</v>
      </c>
      <c r="E41" s="405" t="s">
        <v>57</v>
      </c>
      <c r="F41" s="405" t="s">
        <v>57</v>
      </c>
      <c r="G41" s="308" t="s">
        <v>57</v>
      </c>
      <c r="H41" s="308" t="s">
        <v>57</v>
      </c>
      <c r="I41" s="110" t="s">
        <v>57</v>
      </c>
      <c r="J41" s="110" t="s">
        <v>57</v>
      </c>
      <c r="K41" s="110" t="s">
        <v>57</v>
      </c>
      <c r="L41" s="110" t="s">
        <v>57</v>
      </c>
      <c r="M41" s="110" t="s">
        <v>57</v>
      </c>
      <c r="N41" s="110" t="s">
        <v>57</v>
      </c>
      <c r="O41" s="110" t="s">
        <v>57</v>
      </c>
      <c r="P41" s="110" t="s">
        <v>57</v>
      </c>
      <c r="Q41" s="110">
        <v>0.17699999999999999</v>
      </c>
      <c r="R41" s="110">
        <v>0.22800000000000001</v>
      </c>
      <c r="S41" s="110">
        <v>0.45500000000000002</v>
      </c>
    </row>
    <row r="42" spans="2:19" s="43" customFormat="1" x14ac:dyDescent="0.2">
      <c r="B42" s="43" t="s">
        <v>74</v>
      </c>
      <c r="C42" s="401">
        <v>7.6680000000000001</v>
      </c>
      <c r="D42" s="397">
        <v>8.6229999999999993</v>
      </c>
      <c r="E42" s="397">
        <v>9.07</v>
      </c>
      <c r="F42" s="397">
        <v>7.3760000000000003</v>
      </c>
      <c r="G42" s="110">
        <v>7.3760000000000003</v>
      </c>
      <c r="H42" s="110">
        <v>9.9060000000000006</v>
      </c>
      <c r="I42" s="110">
        <v>11.552</v>
      </c>
      <c r="J42" s="110">
        <v>12.222</v>
      </c>
      <c r="K42" s="110">
        <v>36.700000000000003</v>
      </c>
      <c r="L42" s="110">
        <v>3.2</v>
      </c>
      <c r="M42" s="110">
        <v>2.9</v>
      </c>
      <c r="N42" s="110">
        <v>2.6</v>
      </c>
      <c r="O42" s="110">
        <v>4.8250000000000002</v>
      </c>
      <c r="P42" s="110">
        <v>2.2719999999999998</v>
      </c>
      <c r="Q42" s="110">
        <v>2.44</v>
      </c>
      <c r="R42" s="110">
        <v>11.916</v>
      </c>
      <c r="S42" s="110">
        <v>12.837999999999999</v>
      </c>
    </row>
    <row r="43" spans="2:19" s="115" customFormat="1" ht="15" customHeight="1" x14ac:dyDescent="0.2">
      <c r="B43" s="114" t="s">
        <v>75</v>
      </c>
      <c r="C43" s="473">
        <f>SUM(C34:C42)</f>
        <v>307.79600000000005</v>
      </c>
      <c r="D43" s="61">
        <f>SUM(D34:D42)</f>
        <v>361.64999999999992</v>
      </c>
      <c r="E43" s="396">
        <v>373.56299999999999</v>
      </c>
      <c r="F43" s="396">
        <v>388.26600000000002</v>
      </c>
      <c r="G43" s="111">
        <v>392.33600000000001</v>
      </c>
      <c r="H43" s="111">
        <f>SUM(H34:H42)</f>
        <v>292.21100000000001</v>
      </c>
      <c r="I43" s="111">
        <f>SUM(I34:I42)</f>
        <v>536.44400000000007</v>
      </c>
      <c r="J43" s="111">
        <f>SUM(J34:J42)</f>
        <v>554.61299999999994</v>
      </c>
      <c r="K43" s="111">
        <v>843.5</v>
      </c>
      <c r="L43" s="111">
        <f t="shared" ref="L43:S43" si="3">SUM(L34:L42)</f>
        <v>940.50000000000011</v>
      </c>
      <c r="M43" s="111">
        <f t="shared" si="3"/>
        <v>944.2</v>
      </c>
      <c r="N43" s="111">
        <f t="shared" si="3"/>
        <v>871.40000000000009</v>
      </c>
      <c r="O43" s="111">
        <f t="shared" si="3"/>
        <v>901.37800000000004</v>
      </c>
      <c r="P43" s="111">
        <f t="shared" si="3"/>
        <v>860.02699999999993</v>
      </c>
      <c r="Q43" s="111">
        <f t="shared" si="3"/>
        <v>834.48800000000006</v>
      </c>
      <c r="R43" s="111">
        <f t="shared" si="3"/>
        <v>811.80400000000009</v>
      </c>
      <c r="S43" s="111">
        <f t="shared" si="3"/>
        <v>1138.578</v>
      </c>
    </row>
    <row r="44" spans="2:19" s="115" customFormat="1" ht="15" customHeight="1" x14ac:dyDescent="0.2">
      <c r="B44" s="116"/>
      <c r="C44" s="322"/>
      <c r="D44" s="116"/>
      <c r="E44" s="402"/>
      <c r="F44" s="402"/>
      <c r="G44" s="143"/>
      <c r="H44" s="143"/>
      <c r="I44" s="143"/>
      <c r="J44" s="125"/>
      <c r="K44" s="131"/>
      <c r="L44" s="131"/>
      <c r="M44" s="131"/>
      <c r="N44" s="131"/>
      <c r="O44" s="132"/>
      <c r="P44" s="132"/>
      <c r="Q44" s="132"/>
      <c r="R44" s="132"/>
      <c r="S44" s="133"/>
    </row>
    <row r="45" spans="2:19" s="115" customFormat="1" ht="15" customHeight="1" x14ac:dyDescent="0.2">
      <c r="B45" s="114" t="s">
        <v>19</v>
      </c>
      <c r="C45" s="475"/>
      <c r="D45" s="396">
        <v>2.3199999999999998</v>
      </c>
      <c r="E45" s="396">
        <v>2.3199999999999998</v>
      </c>
      <c r="F45" s="396">
        <v>6.56</v>
      </c>
      <c r="G45" s="111">
        <v>6.56</v>
      </c>
      <c r="H45" s="111">
        <v>5.5309999999999997</v>
      </c>
      <c r="I45" s="111" t="s">
        <v>57</v>
      </c>
      <c r="J45" s="111">
        <v>1.26</v>
      </c>
      <c r="K45" s="111">
        <v>1.5</v>
      </c>
      <c r="L45" s="111">
        <v>9.9</v>
      </c>
      <c r="M45" s="111" t="s">
        <v>57</v>
      </c>
      <c r="N45" s="111" t="s">
        <v>57</v>
      </c>
      <c r="O45" s="111" t="s">
        <v>57</v>
      </c>
      <c r="P45" s="111" t="s">
        <v>57</v>
      </c>
      <c r="Q45" s="111" t="s">
        <v>57</v>
      </c>
      <c r="R45" s="111" t="s">
        <v>57</v>
      </c>
      <c r="S45" s="111" t="s">
        <v>57</v>
      </c>
    </row>
    <row r="46" spans="2:19" s="43" customFormat="1" x14ac:dyDescent="0.2">
      <c r="C46" s="322"/>
      <c r="D46" s="184"/>
      <c r="E46" s="402"/>
      <c r="F46" s="402"/>
      <c r="G46" s="143"/>
      <c r="H46" s="143"/>
      <c r="I46" s="143"/>
      <c r="J46" s="125"/>
      <c r="K46" s="125"/>
      <c r="L46" s="125"/>
      <c r="M46" s="125"/>
      <c r="N46" s="125"/>
      <c r="O46" s="128"/>
      <c r="P46" s="128"/>
      <c r="Q46" s="128"/>
      <c r="R46" s="128"/>
      <c r="S46" s="134"/>
    </row>
    <row r="47" spans="2:19" s="115" customFormat="1" ht="15" customHeight="1" x14ac:dyDescent="0.2">
      <c r="B47" s="114" t="s">
        <v>76</v>
      </c>
      <c r="C47" s="396">
        <f>C31+C43+C45</f>
        <v>855.46399999999994</v>
      </c>
      <c r="D47" s="61">
        <f>D31+D43+D45</f>
        <v>960.26999999999987</v>
      </c>
      <c r="E47" s="396">
        <v>937.77099999999996</v>
      </c>
      <c r="F47" s="396">
        <v>909.85199999999998</v>
      </c>
      <c r="G47" s="111">
        <v>913.92100000000005</v>
      </c>
      <c r="H47" s="111">
        <v>829.33799999999997</v>
      </c>
      <c r="I47" s="111">
        <v>1189.7280000000001</v>
      </c>
      <c r="J47" s="111">
        <f>J31+J43+J45</f>
        <v>1160.4869999999999</v>
      </c>
      <c r="K47" s="111">
        <v>1527.1</v>
      </c>
      <c r="L47" s="111">
        <f>L31+L43+L45</f>
        <v>1590.8000000000002</v>
      </c>
      <c r="M47" s="111">
        <f t="shared" ref="M47:S47" si="4">M31+M43</f>
        <v>1597.9</v>
      </c>
      <c r="N47" s="111">
        <f t="shared" si="4"/>
        <v>1465.6000000000001</v>
      </c>
      <c r="O47" s="111">
        <f t="shared" si="4"/>
        <v>1491.317</v>
      </c>
      <c r="P47" s="111">
        <f t="shared" si="4"/>
        <v>1475.8539999999998</v>
      </c>
      <c r="Q47" s="111">
        <f t="shared" si="4"/>
        <v>1474.9860000000001</v>
      </c>
      <c r="R47" s="111">
        <f t="shared" si="4"/>
        <v>1390.6240000000003</v>
      </c>
      <c r="S47" s="111">
        <f t="shared" si="4"/>
        <v>1817.37</v>
      </c>
    </row>
    <row r="48" spans="2:19" s="43" customFormat="1" x14ac:dyDescent="0.2">
      <c r="C48" s="322"/>
      <c r="D48" s="184"/>
      <c r="E48" s="402"/>
      <c r="F48" s="402"/>
      <c r="G48" s="143"/>
      <c r="H48" s="143"/>
      <c r="I48" s="143"/>
      <c r="J48" s="125"/>
      <c r="K48" s="125"/>
      <c r="L48" s="125"/>
      <c r="M48" s="125"/>
      <c r="N48" s="125"/>
      <c r="O48" s="128"/>
      <c r="P48" s="128"/>
      <c r="Q48" s="128"/>
      <c r="R48" s="128"/>
      <c r="S48" s="58"/>
    </row>
    <row r="49" spans="2:19" s="43" customFormat="1" x14ac:dyDescent="0.2">
      <c r="C49" s="322"/>
      <c r="D49" s="184"/>
      <c r="E49" s="402"/>
      <c r="F49" s="402"/>
      <c r="G49" s="143"/>
      <c r="H49" s="143"/>
      <c r="I49" s="143"/>
      <c r="J49" s="125"/>
      <c r="K49" s="125"/>
      <c r="L49" s="125"/>
      <c r="M49" s="125"/>
      <c r="N49" s="125"/>
      <c r="O49" s="128"/>
      <c r="P49" s="128"/>
      <c r="Q49" s="128"/>
      <c r="R49" s="128"/>
      <c r="S49" s="58"/>
    </row>
    <row r="50" spans="2:19" s="43" customFormat="1" x14ac:dyDescent="0.2">
      <c r="B50" s="113" t="s">
        <v>77</v>
      </c>
      <c r="C50" s="472"/>
      <c r="D50" s="113"/>
      <c r="E50" s="406"/>
      <c r="F50" s="406"/>
      <c r="G50" s="145"/>
      <c r="H50" s="145"/>
      <c r="I50" s="145"/>
      <c r="J50" s="135"/>
      <c r="K50" s="135"/>
      <c r="L50" s="135"/>
      <c r="M50" s="135"/>
      <c r="N50" s="135"/>
      <c r="O50" s="136"/>
      <c r="P50" s="136"/>
      <c r="Q50" s="136"/>
      <c r="R50" s="136"/>
      <c r="S50" s="122"/>
    </row>
    <row r="51" spans="2:19" s="43" customFormat="1" x14ac:dyDescent="0.2">
      <c r="C51" s="322"/>
      <c r="D51" s="184"/>
      <c r="E51" s="402"/>
      <c r="F51" s="402"/>
      <c r="G51" s="143"/>
      <c r="H51" s="143"/>
      <c r="I51" s="143"/>
      <c r="J51" s="125"/>
      <c r="K51" s="125"/>
      <c r="L51" s="125"/>
      <c r="M51" s="125"/>
      <c r="N51" s="125"/>
      <c r="O51" s="128"/>
      <c r="P51" s="128"/>
      <c r="Q51" s="128"/>
      <c r="R51" s="128"/>
      <c r="S51" s="58"/>
    </row>
    <row r="52" spans="2:19" s="43" customFormat="1" x14ac:dyDescent="0.2">
      <c r="B52" s="48" t="s">
        <v>78</v>
      </c>
      <c r="C52" s="328"/>
      <c r="D52" s="187"/>
      <c r="E52" s="403"/>
      <c r="F52" s="403"/>
      <c r="G52" s="144"/>
      <c r="H52" s="144"/>
      <c r="I52" s="144"/>
      <c r="J52" s="129"/>
      <c r="K52" s="129"/>
      <c r="L52" s="129"/>
      <c r="M52" s="129"/>
      <c r="N52" s="129"/>
      <c r="O52" s="130"/>
      <c r="P52" s="130"/>
      <c r="Q52" s="130"/>
      <c r="R52" s="130"/>
      <c r="S52" s="58"/>
    </row>
    <row r="53" spans="2:19" s="43" customFormat="1" x14ac:dyDescent="0.2">
      <c r="B53" s="43" t="s">
        <v>79</v>
      </c>
      <c r="C53" s="397">
        <v>30.25</v>
      </c>
      <c r="D53" s="397">
        <v>30</v>
      </c>
      <c r="E53" s="397">
        <v>20</v>
      </c>
      <c r="F53" s="397">
        <v>23</v>
      </c>
      <c r="G53" s="110">
        <v>23</v>
      </c>
      <c r="H53" s="110">
        <v>19.158999999999999</v>
      </c>
      <c r="I53" s="110">
        <v>211.12899999999999</v>
      </c>
      <c r="J53" s="110">
        <v>65.409000000000006</v>
      </c>
      <c r="K53" s="110">
        <v>20</v>
      </c>
      <c r="L53" s="110">
        <v>44</v>
      </c>
      <c r="M53" s="110">
        <v>75.3</v>
      </c>
      <c r="N53" s="110">
        <v>73.900000000000006</v>
      </c>
      <c r="O53" s="110">
        <v>182.643</v>
      </c>
      <c r="P53" s="110">
        <v>132.89500000000001</v>
      </c>
      <c r="Q53" s="110">
        <v>56.643000000000001</v>
      </c>
      <c r="R53" s="110">
        <v>178.124</v>
      </c>
      <c r="S53" s="110">
        <v>162.64500000000001</v>
      </c>
    </row>
    <row r="54" spans="2:19" s="43" customFormat="1" x14ac:dyDescent="0.2">
      <c r="B54" t="s">
        <v>105</v>
      </c>
      <c r="C54" s="397">
        <v>9.6430000000000007</v>
      </c>
      <c r="D54" s="397">
        <v>9.0510000000000002</v>
      </c>
      <c r="E54" s="397">
        <v>8.2469999999999999</v>
      </c>
      <c r="F54" s="397">
        <v>9.6050000000000004</v>
      </c>
      <c r="G54" s="110">
        <v>9.6050000000000004</v>
      </c>
      <c r="H54" s="110">
        <v>9.7200000000000006</v>
      </c>
      <c r="I54" s="110" t="s">
        <v>57</v>
      </c>
      <c r="J54" s="110" t="s">
        <v>57</v>
      </c>
      <c r="K54" s="110" t="s">
        <v>57</v>
      </c>
      <c r="L54" s="110" t="s">
        <v>57</v>
      </c>
      <c r="M54" s="110" t="s">
        <v>57</v>
      </c>
      <c r="N54" s="110" t="s">
        <v>57</v>
      </c>
      <c r="O54" s="110" t="s">
        <v>57</v>
      </c>
      <c r="P54" s="110" t="s">
        <v>57</v>
      </c>
      <c r="Q54" s="110" t="s">
        <v>57</v>
      </c>
      <c r="R54" s="110" t="s">
        <v>57</v>
      </c>
      <c r="S54" s="110" t="s">
        <v>57</v>
      </c>
    </row>
    <row r="55" spans="2:19" s="43" customFormat="1" x14ac:dyDescent="0.2">
      <c r="B55" s="43" t="s">
        <v>80</v>
      </c>
      <c r="C55" s="397">
        <v>172.107</v>
      </c>
      <c r="D55" s="397">
        <v>180.70099999999999</v>
      </c>
      <c r="E55" s="397">
        <v>193.08199999999999</v>
      </c>
      <c r="F55" s="397">
        <v>181.40100000000001</v>
      </c>
      <c r="G55" s="110">
        <v>181.40100000000001</v>
      </c>
      <c r="H55" s="110">
        <v>173.12200000000001</v>
      </c>
      <c r="I55" s="110">
        <v>170.77199999999999</v>
      </c>
      <c r="J55" s="110">
        <v>204.89699999999999</v>
      </c>
      <c r="K55" s="110">
        <v>248.5</v>
      </c>
      <c r="L55" s="110">
        <v>220.2</v>
      </c>
      <c r="M55" s="110">
        <v>210.8</v>
      </c>
      <c r="N55" s="110">
        <v>204.9</v>
      </c>
      <c r="O55" s="110">
        <v>210.57300000000001</v>
      </c>
      <c r="P55" s="110">
        <v>200.024</v>
      </c>
      <c r="Q55" s="110">
        <v>204.18899999999999</v>
      </c>
      <c r="R55" s="110">
        <v>150.06800000000001</v>
      </c>
      <c r="S55" s="110">
        <v>205.363</v>
      </c>
    </row>
    <row r="56" spans="2:19" s="43" customFormat="1" x14ac:dyDescent="0.2">
      <c r="B56" s="43" t="s">
        <v>81</v>
      </c>
      <c r="C56" s="397">
        <v>23.382000000000001</v>
      </c>
      <c r="D56" s="397">
        <v>22.492000000000001</v>
      </c>
      <c r="E56" s="397">
        <v>17.420000000000002</v>
      </c>
      <c r="F56" s="397">
        <v>18.369</v>
      </c>
      <c r="G56" s="110">
        <v>18.369</v>
      </c>
      <c r="H56" s="110">
        <v>18.771000000000001</v>
      </c>
      <c r="I56" s="110">
        <v>23.172999999999998</v>
      </c>
      <c r="J56" s="110">
        <v>17.218</v>
      </c>
      <c r="K56" s="110">
        <v>18.600000000000001</v>
      </c>
      <c r="L56" s="110">
        <v>25.3</v>
      </c>
      <c r="M56" s="110">
        <v>33</v>
      </c>
      <c r="N56" s="110">
        <v>18.2</v>
      </c>
      <c r="O56" s="110">
        <v>16.193000000000001</v>
      </c>
      <c r="P56" s="110">
        <v>17.042999999999999</v>
      </c>
      <c r="Q56" s="110">
        <v>17.795000000000002</v>
      </c>
      <c r="R56" s="110">
        <v>18.651</v>
      </c>
      <c r="S56" s="110">
        <v>22.587</v>
      </c>
    </row>
    <row r="57" spans="2:19" s="43" customFormat="1" x14ac:dyDescent="0.2">
      <c r="B57" s="43" t="s">
        <v>82</v>
      </c>
      <c r="C57" s="397">
        <v>3.9089999999999998</v>
      </c>
      <c r="D57" s="397">
        <v>7.6559999999999997</v>
      </c>
      <c r="E57" s="397">
        <v>0.54500000000000004</v>
      </c>
      <c r="F57" s="397">
        <v>0.76400000000000001</v>
      </c>
      <c r="G57" s="110">
        <v>0.76400000000000001</v>
      </c>
      <c r="H57" s="110">
        <v>1.121</v>
      </c>
      <c r="I57" s="110">
        <v>0.40799999999999997</v>
      </c>
      <c r="J57" s="110">
        <v>2.056</v>
      </c>
      <c r="K57" s="110">
        <v>1.6</v>
      </c>
      <c r="L57" s="110">
        <v>0.9</v>
      </c>
      <c r="M57" s="110">
        <v>0.1</v>
      </c>
      <c r="N57" s="110">
        <v>1.7</v>
      </c>
      <c r="O57" s="110">
        <v>1</v>
      </c>
      <c r="P57" s="110">
        <v>0.127</v>
      </c>
      <c r="Q57" s="110">
        <v>1.827</v>
      </c>
      <c r="R57" s="110">
        <v>5.5490000000000004</v>
      </c>
      <c r="S57" s="110">
        <v>0</v>
      </c>
    </row>
    <row r="58" spans="2:19" s="184" customFormat="1" x14ac:dyDescent="0.2">
      <c r="B58" s="184" t="s">
        <v>316</v>
      </c>
      <c r="C58" s="405" t="s">
        <v>57</v>
      </c>
      <c r="D58" s="397">
        <v>6.1950000000000003</v>
      </c>
      <c r="E58" s="405" t="s">
        <v>57</v>
      </c>
      <c r="F58" s="405" t="s">
        <v>57</v>
      </c>
      <c r="G58" s="405" t="s">
        <v>57</v>
      </c>
      <c r="H58" s="405" t="s">
        <v>57</v>
      </c>
      <c r="I58" s="405" t="s">
        <v>57</v>
      </c>
      <c r="J58" s="405" t="s">
        <v>57</v>
      </c>
      <c r="K58" s="405" t="s">
        <v>57</v>
      </c>
      <c r="L58" s="405" t="s">
        <v>57</v>
      </c>
      <c r="M58" s="405" t="s">
        <v>57</v>
      </c>
      <c r="N58" s="405" t="s">
        <v>57</v>
      </c>
      <c r="O58" s="405" t="s">
        <v>57</v>
      </c>
      <c r="P58" s="405" t="s">
        <v>57</v>
      </c>
      <c r="Q58" s="405" t="s">
        <v>57</v>
      </c>
      <c r="R58" s="405" t="s">
        <v>57</v>
      </c>
      <c r="S58" s="405" t="s">
        <v>57</v>
      </c>
    </row>
    <row r="59" spans="2:19" s="43" customFormat="1" x14ac:dyDescent="0.2">
      <c r="B59" s="43" t="s">
        <v>83</v>
      </c>
      <c r="C59" s="397">
        <v>40.771999999999998</v>
      </c>
      <c r="D59" s="397">
        <v>47.290999999999997</v>
      </c>
      <c r="E59" s="397">
        <v>55.561999999999998</v>
      </c>
      <c r="F59" s="397">
        <v>51.697000000000003</v>
      </c>
      <c r="G59" s="110">
        <v>51.697000000000003</v>
      </c>
      <c r="H59" s="110">
        <v>54.024000000000001</v>
      </c>
      <c r="I59" s="110">
        <v>52.02</v>
      </c>
      <c r="J59" s="110">
        <v>95.492999999999995</v>
      </c>
      <c r="K59" s="110">
        <v>92</v>
      </c>
      <c r="L59" s="110">
        <v>47.5</v>
      </c>
      <c r="M59" s="110">
        <v>52.1</v>
      </c>
      <c r="N59" s="110">
        <v>43.5</v>
      </c>
      <c r="O59" s="110">
        <v>47.738999999999997</v>
      </c>
      <c r="P59" s="110">
        <f>70.993-25.167</f>
        <v>45.825999999999993</v>
      </c>
      <c r="Q59" s="110">
        <v>72.298000000000002</v>
      </c>
      <c r="R59" s="110">
        <v>63.436999999999998</v>
      </c>
      <c r="S59" s="110">
        <v>76.436999999999998</v>
      </c>
    </row>
    <row r="60" spans="2:19" s="43" customFormat="1" x14ac:dyDescent="0.2">
      <c r="B60" s="43" t="s">
        <v>84</v>
      </c>
      <c r="C60" s="397">
        <v>9.0169999999999995</v>
      </c>
      <c r="D60" s="397">
        <v>9.1660000000000004</v>
      </c>
      <c r="E60" s="397">
        <v>15.776</v>
      </c>
      <c r="F60" s="397">
        <v>38.514000000000003</v>
      </c>
      <c r="G60" s="110">
        <v>38.514000000000003</v>
      </c>
      <c r="H60" s="110">
        <v>22.824000000000002</v>
      </c>
      <c r="I60" s="110">
        <v>26.736000000000001</v>
      </c>
      <c r="J60" s="110">
        <v>35.414999999999999</v>
      </c>
      <c r="K60" s="110">
        <v>27.6</v>
      </c>
      <c r="L60" s="110">
        <v>24.1</v>
      </c>
      <c r="M60" s="110">
        <v>5.7</v>
      </c>
      <c r="N60" s="110">
        <v>3.3</v>
      </c>
      <c r="O60" s="110">
        <v>2.851</v>
      </c>
      <c r="P60" s="110">
        <v>6.5990000000000002</v>
      </c>
      <c r="Q60" s="110">
        <v>6.6790000000000003</v>
      </c>
      <c r="R60" s="110">
        <v>4.0869999999999997</v>
      </c>
      <c r="S60" s="110">
        <v>1.0529999999999999</v>
      </c>
    </row>
    <row r="61" spans="2:19" s="115" customFormat="1" ht="15" customHeight="1" x14ac:dyDescent="0.2">
      <c r="B61" s="114" t="s">
        <v>85</v>
      </c>
      <c r="C61" s="321">
        <f>SUM(C53:C60)</f>
        <v>289.08</v>
      </c>
      <c r="D61" s="396">
        <f>SUM(D53:D60)</f>
        <v>312.55200000000002</v>
      </c>
      <c r="E61" s="396">
        <f>SUM(E53:E60)</f>
        <v>310.63200000000001</v>
      </c>
      <c r="F61" s="396">
        <v>323.34899999999999</v>
      </c>
      <c r="G61" s="111">
        <v>323.34899999999999</v>
      </c>
      <c r="H61" s="111">
        <v>298.74200000000002</v>
      </c>
      <c r="I61" s="111">
        <f>SUM(I53:I60)</f>
        <v>484.23799999999994</v>
      </c>
      <c r="J61" s="111">
        <f>SUM(J53:J60)</f>
        <v>420.488</v>
      </c>
      <c r="K61" s="111">
        <v>408.4</v>
      </c>
      <c r="L61" s="111">
        <v>361.9</v>
      </c>
      <c r="M61" s="111">
        <f t="shared" ref="M61:S61" si="5">SUM(M53:M60)</f>
        <v>377.00000000000006</v>
      </c>
      <c r="N61" s="111">
        <f t="shared" si="5"/>
        <v>345.5</v>
      </c>
      <c r="O61" s="111">
        <f t="shared" si="5"/>
        <v>460.99899999999997</v>
      </c>
      <c r="P61" s="111">
        <f t="shared" si="5"/>
        <v>402.51399999999995</v>
      </c>
      <c r="Q61" s="111">
        <f t="shared" si="5"/>
        <v>359.43099999999998</v>
      </c>
      <c r="R61" s="111">
        <f t="shared" si="5"/>
        <v>419.916</v>
      </c>
      <c r="S61" s="111">
        <f t="shared" si="5"/>
        <v>468.08500000000004</v>
      </c>
    </row>
    <row r="62" spans="2:19" s="43" customFormat="1" x14ac:dyDescent="0.2">
      <c r="C62" s="322"/>
      <c r="D62" s="184"/>
      <c r="E62" s="402"/>
      <c r="F62" s="402"/>
      <c r="G62" s="143"/>
      <c r="H62" s="143"/>
      <c r="I62" s="143"/>
      <c r="J62" s="125"/>
      <c r="K62" s="125"/>
      <c r="L62" s="125"/>
      <c r="M62" s="125"/>
      <c r="N62" s="125"/>
      <c r="O62" s="128"/>
      <c r="P62" s="128"/>
      <c r="Q62" s="128"/>
      <c r="R62" s="128"/>
      <c r="S62" s="58"/>
    </row>
    <row r="63" spans="2:19" s="43" customFormat="1" x14ac:dyDescent="0.2">
      <c r="B63" s="48" t="s">
        <v>86</v>
      </c>
      <c r="C63" s="328"/>
      <c r="D63" s="187"/>
      <c r="E63" s="403"/>
      <c r="F63" s="403"/>
      <c r="G63" s="144"/>
      <c r="H63" s="144"/>
      <c r="I63" s="144"/>
      <c r="J63" s="129"/>
      <c r="K63" s="129"/>
      <c r="L63" s="129"/>
      <c r="M63" s="129"/>
      <c r="N63" s="129"/>
      <c r="O63" s="130"/>
      <c r="P63" s="130"/>
      <c r="Q63" s="130"/>
      <c r="R63" s="130"/>
      <c r="S63" s="58"/>
    </row>
    <row r="64" spans="2:19" s="43" customFormat="1" x14ac:dyDescent="0.2">
      <c r="B64" s="43" t="s">
        <v>87</v>
      </c>
      <c r="C64" s="397">
        <v>88.344999999999999</v>
      </c>
      <c r="D64" s="397">
        <v>117.32899999999999</v>
      </c>
      <c r="E64" s="397">
        <v>131.798</v>
      </c>
      <c r="F64" s="397">
        <v>244.92599999999999</v>
      </c>
      <c r="G64" s="110">
        <v>244.92599999999999</v>
      </c>
      <c r="H64" s="110">
        <v>72.864000000000004</v>
      </c>
      <c r="I64" s="110" t="s">
        <v>57</v>
      </c>
      <c r="J64" s="110">
        <v>142.49100000000001</v>
      </c>
      <c r="K64" s="110">
        <v>137.4</v>
      </c>
      <c r="L64" s="110">
        <v>132.5</v>
      </c>
      <c r="M64" s="110">
        <v>176.5</v>
      </c>
      <c r="N64" s="110">
        <v>191.2</v>
      </c>
      <c r="O64" s="110">
        <v>92.034000000000006</v>
      </c>
      <c r="P64" s="110">
        <v>195.74100000000001</v>
      </c>
      <c r="Q64" s="110">
        <v>287.79399999999998</v>
      </c>
      <c r="R64" s="110">
        <v>447.28199999999998</v>
      </c>
      <c r="S64" s="110">
        <v>461.084</v>
      </c>
    </row>
    <row r="65" spans="2:19" s="43" customFormat="1" x14ac:dyDescent="0.2">
      <c r="B65" t="s">
        <v>105</v>
      </c>
      <c r="C65" s="397">
        <v>29.359000000000002</v>
      </c>
      <c r="D65" s="397">
        <v>34.726999999999997</v>
      </c>
      <c r="E65" s="397">
        <v>32.917000000000002</v>
      </c>
      <c r="F65" s="397">
        <v>33.503999999999998</v>
      </c>
      <c r="G65" s="110">
        <v>33.503999999999998</v>
      </c>
      <c r="H65" s="110">
        <v>37.326999999999998</v>
      </c>
      <c r="I65" s="110" t="s">
        <v>57</v>
      </c>
      <c r="J65" s="110" t="s">
        <v>57</v>
      </c>
      <c r="K65" s="110" t="s">
        <v>57</v>
      </c>
      <c r="L65" s="110" t="s">
        <v>57</v>
      </c>
      <c r="M65" s="110" t="s">
        <v>57</v>
      </c>
      <c r="N65" s="110" t="s">
        <v>57</v>
      </c>
      <c r="O65" s="110" t="s">
        <v>57</v>
      </c>
      <c r="P65" s="110" t="s">
        <v>57</v>
      </c>
      <c r="Q65" s="110" t="s">
        <v>57</v>
      </c>
      <c r="R65" s="110" t="s">
        <v>57</v>
      </c>
      <c r="S65" s="110" t="s">
        <v>57</v>
      </c>
    </row>
    <row r="66" spans="2:19" s="43" customFormat="1" x14ac:dyDescent="0.2">
      <c r="B66" s="43" t="s">
        <v>88</v>
      </c>
      <c r="C66" s="397">
        <v>9.734</v>
      </c>
      <c r="D66" s="397">
        <v>13.975</v>
      </c>
      <c r="E66" s="397">
        <v>18.995000000000001</v>
      </c>
      <c r="F66" s="397">
        <v>23.5</v>
      </c>
      <c r="G66" s="110">
        <v>23.5</v>
      </c>
      <c r="H66" s="110">
        <v>27.064</v>
      </c>
      <c r="I66" s="110">
        <v>26.225999999999999</v>
      </c>
      <c r="J66" s="110">
        <v>28.399000000000001</v>
      </c>
      <c r="K66" s="110">
        <v>31.4</v>
      </c>
      <c r="L66" s="110">
        <v>31.2</v>
      </c>
      <c r="M66" s="110">
        <v>32.700000000000003</v>
      </c>
      <c r="N66" s="110">
        <v>34.9</v>
      </c>
      <c r="O66" s="110">
        <v>36.819000000000003</v>
      </c>
      <c r="P66" s="110">
        <v>32.584000000000003</v>
      </c>
      <c r="Q66" s="110">
        <v>32.095999999999997</v>
      </c>
      <c r="R66" s="110">
        <v>41.817999999999998</v>
      </c>
      <c r="S66" s="110">
        <v>42.075000000000003</v>
      </c>
    </row>
    <row r="67" spans="2:19" s="43" customFormat="1" x14ac:dyDescent="0.2">
      <c r="B67" s="43" t="s">
        <v>89</v>
      </c>
      <c r="C67" s="397">
        <v>9.4429999999999996</v>
      </c>
      <c r="D67" s="397">
        <v>14.512</v>
      </c>
      <c r="E67" s="397">
        <v>15.144</v>
      </c>
      <c r="F67" s="397">
        <v>14.324</v>
      </c>
      <c r="G67" s="110">
        <v>14.324</v>
      </c>
      <c r="H67" s="110">
        <v>39.264000000000003</v>
      </c>
      <c r="I67" s="110">
        <v>13.747999999999999</v>
      </c>
      <c r="J67" s="110">
        <v>16.779</v>
      </c>
      <c r="K67" s="110">
        <v>14.8</v>
      </c>
      <c r="L67" s="110">
        <v>16.2</v>
      </c>
      <c r="M67" s="110">
        <v>13.7</v>
      </c>
      <c r="N67" s="110">
        <v>34.6</v>
      </c>
      <c r="O67" s="110">
        <v>24.004000000000001</v>
      </c>
      <c r="P67" s="110">
        <v>18.693000000000001</v>
      </c>
      <c r="Q67" s="110">
        <v>19.391999999999999</v>
      </c>
      <c r="R67" s="110">
        <v>20.968</v>
      </c>
      <c r="S67" s="110">
        <v>13.263</v>
      </c>
    </row>
    <row r="68" spans="2:19" s="43" customFormat="1" x14ac:dyDescent="0.2">
      <c r="B68" s="43" t="s">
        <v>90</v>
      </c>
      <c r="C68" s="397">
        <v>10.291</v>
      </c>
      <c r="D68" s="397">
        <v>12.863</v>
      </c>
      <c r="E68" s="397">
        <v>13.031000000000001</v>
      </c>
      <c r="F68" s="397">
        <v>11.345000000000001</v>
      </c>
      <c r="G68" s="110">
        <v>11.345000000000001</v>
      </c>
      <c r="H68" s="110">
        <v>10.852</v>
      </c>
      <c r="I68" s="110">
        <v>13.455</v>
      </c>
      <c r="J68" s="110">
        <v>13.282999999999999</v>
      </c>
      <c r="K68" s="110">
        <v>16.2</v>
      </c>
      <c r="L68" s="110">
        <v>11.1</v>
      </c>
      <c r="M68" s="110">
        <v>8.8000000000000007</v>
      </c>
      <c r="N68" s="110">
        <v>8.1</v>
      </c>
      <c r="O68" s="110">
        <v>7.7450000000000001</v>
      </c>
      <c r="P68" s="110">
        <v>4.5510000000000002</v>
      </c>
      <c r="Q68" s="110">
        <v>1.708</v>
      </c>
      <c r="R68" s="110">
        <v>3.5310000000000001</v>
      </c>
      <c r="S68" s="110">
        <v>5.1840000000000002</v>
      </c>
    </row>
    <row r="69" spans="2:19" s="43" customFormat="1" x14ac:dyDescent="0.2">
      <c r="B69" s="43" t="s">
        <v>82</v>
      </c>
      <c r="C69" s="405" t="str">
        <f>D69</f>
        <v>-</v>
      </c>
      <c r="D69" s="405" t="s">
        <v>57</v>
      </c>
      <c r="E69" s="405" t="s">
        <v>57</v>
      </c>
      <c r="F69" s="405" t="s">
        <v>57</v>
      </c>
      <c r="G69" s="308" t="s">
        <v>57</v>
      </c>
      <c r="H69" s="110" t="s">
        <v>57</v>
      </c>
      <c r="I69" s="110">
        <v>0</v>
      </c>
      <c r="J69" s="110">
        <v>0</v>
      </c>
      <c r="K69" s="110">
        <v>0.5</v>
      </c>
      <c r="L69" s="110">
        <v>3.6</v>
      </c>
      <c r="M69" s="110">
        <v>4.4000000000000004</v>
      </c>
      <c r="N69" s="110">
        <v>0</v>
      </c>
      <c r="O69" s="110">
        <v>1.5549999999999999</v>
      </c>
      <c r="P69" s="110">
        <v>1.2450000000000001</v>
      </c>
      <c r="Q69" s="110">
        <v>0.26500000000000001</v>
      </c>
      <c r="R69" s="110">
        <v>0</v>
      </c>
      <c r="S69" s="110">
        <v>5.74</v>
      </c>
    </row>
    <row r="70" spans="2:19" s="184" customFormat="1" x14ac:dyDescent="0.2">
      <c r="B70" s="184" t="s">
        <v>316</v>
      </c>
      <c r="C70" s="405">
        <v>20.77</v>
      </c>
      <c r="D70" s="405">
        <v>13.349</v>
      </c>
      <c r="E70" s="405">
        <v>47.405999999999999</v>
      </c>
      <c r="F70" s="405">
        <v>74.838999999999999</v>
      </c>
      <c r="G70" s="308">
        <v>74.838999999999999</v>
      </c>
      <c r="H70" s="110"/>
      <c r="I70" s="110"/>
      <c r="J70" s="110"/>
      <c r="K70" s="110"/>
      <c r="L70" s="110"/>
      <c r="M70" s="110"/>
      <c r="N70" s="110"/>
      <c r="O70" s="110"/>
      <c r="P70" s="110"/>
      <c r="Q70" s="110"/>
      <c r="R70" s="110"/>
      <c r="S70" s="110"/>
    </row>
    <row r="71" spans="2:19" s="43" customFormat="1" x14ac:dyDescent="0.2">
      <c r="B71" s="43" t="s">
        <v>91</v>
      </c>
      <c r="C71" s="397">
        <v>2.653</v>
      </c>
      <c r="D71" s="397">
        <v>2.0409999999999999</v>
      </c>
      <c r="E71" s="397">
        <v>1.76</v>
      </c>
      <c r="F71" s="397">
        <v>1.7649999999999999</v>
      </c>
      <c r="G71" s="110">
        <v>1.7649999999999999</v>
      </c>
      <c r="H71" s="110">
        <v>1.232</v>
      </c>
      <c r="I71" s="110">
        <v>5.7370000000000001</v>
      </c>
      <c r="J71" s="110">
        <v>5.8419999999999996</v>
      </c>
      <c r="K71" s="110">
        <v>45.6</v>
      </c>
      <c r="L71" s="110">
        <v>35.6</v>
      </c>
      <c r="M71" s="110">
        <v>10.5</v>
      </c>
      <c r="N71" s="110">
        <v>5.3</v>
      </c>
      <c r="O71" s="110">
        <v>5.3150000000000004</v>
      </c>
      <c r="P71" s="110">
        <v>4.7839999999999998</v>
      </c>
      <c r="Q71" s="110">
        <v>7.2649999999999997</v>
      </c>
      <c r="R71" s="110">
        <v>11.117000000000001</v>
      </c>
      <c r="S71" s="110">
        <v>17.661999999999999</v>
      </c>
    </row>
    <row r="72" spans="2:19" s="48" customFormat="1" x14ac:dyDescent="0.2">
      <c r="B72" s="114" t="s">
        <v>92</v>
      </c>
      <c r="C72" s="396">
        <f>SUM(C64:C71)</f>
        <v>170.595</v>
      </c>
      <c r="D72" s="396">
        <f>SUM(D64:D71)</f>
        <v>208.79599999999996</v>
      </c>
      <c r="E72" s="396">
        <f>SUM(E64:E71)</f>
        <v>261.05099999999999</v>
      </c>
      <c r="F72" s="396">
        <v>404.20400000000001</v>
      </c>
      <c r="G72" s="111">
        <v>404.20400000000001</v>
      </c>
      <c r="H72" s="111">
        <v>188.60400000000001</v>
      </c>
      <c r="I72" s="111">
        <f>SUM(I64:I71)</f>
        <v>59.165999999999997</v>
      </c>
      <c r="J72" s="111">
        <f>SUM(J64:J71)</f>
        <v>206.79400000000001</v>
      </c>
      <c r="K72" s="111">
        <v>245.9</v>
      </c>
      <c r="L72" s="111">
        <v>230.3</v>
      </c>
      <c r="M72" s="111">
        <f t="shared" ref="M72:S72" si="6">SUM(M64:M71)</f>
        <v>246.6</v>
      </c>
      <c r="N72" s="111">
        <f t="shared" si="6"/>
        <v>274.10000000000002</v>
      </c>
      <c r="O72" s="111">
        <f t="shared" si="6"/>
        <v>167.47200000000001</v>
      </c>
      <c r="P72" s="111">
        <f t="shared" si="6"/>
        <v>257.59800000000001</v>
      </c>
      <c r="Q72" s="127">
        <f t="shared" si="6"/>
        <v>348.52</v>
      </c>
      <c r="R72" s="127">
        <f t="shared" si="6"/>
        <v>524.71599999999989</v>
      </c>
      <c r="S72" s="61">
        <f t="shared" si="6"/>
        <v>545.00800000000004</v>
      </c>
    </row>
    <row r="73" spans="2:19" s="43" customFormat="1" x14ac:dyDescent="0.2">
      <c r="C73" s="322"/>
      <c r="D73" s="184"/>
      <c r="E73" s="402"/>
      <c r="F73" s="402"/>
      <c r="G73" s="146"/>
      <c r="H73" s="146"/>
      <c r="I73" s="146"/>
      <c r="J73" s="134"/>
      <c r="K73" s="134"/>
      <c r="L73" s="134"/>
      <c r="M73" s="134"/>
      <c r="N73" s="134"/>
      <c r="O73" s="137"/>
      <c r="P73" s="137"/>
      <c r="Q73" s="137"/>
      <c r="R73" s="137"/>
      <c r="S73" s="58"/>
    </row>
    <row r="74" spans="2:19" s="115" customFormat="1" ht="15" customHeight="1" x14ac:dyDescent="0.2">
      <c r="B74" s="114" t="s">
        <v>93</v>
      </c>
      <c r="C74" s="396">
        <f>C61+C72</f>
        <v>459.67499999999995</v>
      </c>
      <c r="D74" s="396">
        <f>D61+D72</f>
        <v>521.34799999999996</v>
      </c>
      <c r="E74" s="396">
        <f>E61+E72</f>
        <v>571.68299999999999</v>
      </c>
      <c r="F74" s="396">
        <v>727.553</v>
      </c>
      <c r="G74" s="111">
        <v>727.553</v>
      </c>
      <c r="H74" s="111">
        <v>487.346</v>
      </c>
      <c r="I74" s="111">
        <f>I61+I72</f>
        <v>543.404</v>
      </c>
      <c r="J74" s="111">
        <f>J61+J72</f>
        <v>627.28200000000004</v>
      </c>
      <c r="K74" s="111">
        <v>654.29999999999995</v>
      </c>
      <c r="L74" s="111">
        <f t="shared" ref="L74:S74" si="7">L61+L72</f>
        <v>592.20000000000005</v>
      </c>
      <c r="M74" s="111">
        <f t="shared" si="7"/>
        <v>623.6</v>
      </c>
      <c r="N74" s="111">
        <f t="shared" si="7"/>
        <v>619.6</v>
      </c>
      <c r="O74" s="61">
        <f t="shared" si="7"/>
        <v>628.471</v>
      </c>
      <c r="P74" s="61">
        <f t="shared" si="7"/>
        <v>660.11199999999997</v>
      </c>
      <c r="Q74" s="61">
        <f t="shared" si="7"/>
        <v>707.95100000000002</v>
      </c>
      <c r="R74" s="61">
        <f t="shared" si="7"/>
        <v>944.63199999999983</v>
      </c>
      <c r="S74" s="111">
        <f t="shared" si="7"/>
        <v>1013.0930000000001</v>
      </c>
    </row>
    <row r="75" spans="2:19" s="43" customFormat="1" x14ac:dyDescent="0.2">
      <c r="C75" s="322"/>
      <c r="D75" s="184"/>
      <c r="E75" s="402"/>
      <c r="F75" s="402"/>
      <c r="G75" s="146"/>
      <c r="H75" s="146"/>
      <c r="I75" s="146"/>
      <c r="J75" s="134"/>
      <c r="K75" s="134"/>
      <c r="L75" s="134"/>
      <c r="M75" s="134"/>
      <c r="N75" s="134"/>
      <c r="O75" s="137"/>
      <c r="P75" s="137"/>
      <c r="Q75" s="137"/>
      <c r="R75" s="137"/>
      <c r="S75" s="58"/>
    </row>
    <row r="76" spans="2:19" s="43" customFormat="1" x14ac:dyDescent="0.2">
      <c r="B76" s="48" t="s">
        <v>23</v>
      </c>
      <c r="C76" s="328"/>
      <c r="D76" s="187"/>
      <c r="E76" s="403"/>
      <c r="F76" s="403"/>
      <c r="G76" s="147"/>
      <c r="H76" s="147"/>
      <c r="I76" s="110"/>
      <c r="J76" s="138"/>
      <c r="K76" s="138"/>
      <c r="L76" s="138"/>
      <c r="M76" s="138"/>
      <c r="N76" s="138"/>
      <c r="O76" s="139"/>
      <c r="P76" s="139"/>
      <c r="Q76" s="139"/>
      <c r="R76" s="139"/>
      <c r="S76" s="58"/>
    </row>
    <row r="77" spans="2:19" s="43" customFormat="1" x14ac:dyDescent="0.2">
      <c r="B77" s="43" t="s">
        <v>94</v>
      </c>
      <c r="C77" s="397">
        <v>384.858</v>
      </c>
      <c r="D77" s="397">
        <v>384.846</v>
      </c>
      <c r="E77" s="397">
        <v>384.82</v>
      </c>
      <c r="F77" s="397">
        <v>349.94299999999998</v>
      </c>
      <c r="G77" s="110">
        <v>349.94299999999998</v>
      </c>
      <c r="H77" s="110">
        <v>349.94299999999998</v>
      </c>
      <c r="I77" s="110">
        <v>345.61</v>
      </c>
      <c r="J77" s="110">
        <v>313.3</v>
      </c>
      <c r="K77" s="110">
        <v>313.3</v>
      </c>
      <c r="L77" s="110">
        <v>313.2</v>
      </c>
      <c r="M77" s="110">
        <v>312.7</v>
      </c>
      <c r="N77" s="110">
        <v>311</v>
      </c>
      <c r="O77" s="110">
        <v>308.7</v>
      </c>
      <c r="P77" s="110">
        <v>284.10000000000002</v>
      </c>
      <c r="Q77" s="110">
        <v>284.11</v>
      </c>
      <c r="R77" s="110">
        <v>71.349000000000004</v>
      </c>
      <c r="S77" s="110">
        <v>71.349000000000004</v>
      </c>
    </row>
    <row r="78" spans="2:19" s="43" customFormat="1" x14ac:dyDescent="0.2">
      <c r="B78" s="43" t="s">
        <v>95</v>
      </c>
      <c r="C78" s="397">
        <v>27.388000000000002</v>
      </c>
      <c r="D78" s="397">
        <v>692.52099999999996</v>
      </c>
      <c r="E78" s="397">
        <v>692.45799999999997</v>
      </c>
      <c r="F78" s="397">
        <v>594.27700000000004</v>
      </c>
      <c r="G78" s="110">
        <v>594.27700000000004</v>
      </c>
      <c r="H78" s="110">
        <v>594.27700000000004</v>
      </c>
      <c r="I78" s="110">
        <v>581.12099999999998</v>
      </c>
      <c r="J78" s="110">
        <v>484.86200000000002</v>
      </c>
      <c r="K78" s="110">
        <v>484.9</v>
      </c>
      <c r="L78" s="110">
        <v>484.8</v>
      </c>
      <c r="M78" s="110">
        <v>484.7</v>
      </c>
      <c r="N78" s="110">
        <v>482.6</v>
      </c>
      <c r="O78" s="110">
        <v>481.16300000000001</v>
      </c>
      <c r="P78" s="110">
        <v>461.5</v>
      </c>
      <c r="Q78" s="110">
        <v>461.49099999999999</v>
      </c>
      <c r="R78" s="110">
        <v>745.10500000000002</v>
      </c>
      <c r="S78" s="110">
        <v>747.471</v>
      </c>
    </row>
    <row r="79" spans="2:19" s="43" customFormat="1" x14ac:dyDescent="0.2">
      <c r="B79" s="43" t="s">
        <v>96</v>
      </c>
      <c r="C79" s="99">
        <v>-8.6679999999999993</v>
      </c>
      <c r="D79" s="99">
        <v>-722.39200000000005</v>
      </c>
      <c r="E79" s="99">
        <v>-771.81200000000001</v>
      </c>
      <c r="F79" s="99">
        <v>-728.00099999999998</v>
      </c>
      <c r="G79" s="109">
        <v>-727.51900000000001</v>
      </c>
      <c r="H79" s="109">
        <v>-273.90100000000001</v>
      </c>
      <c r="I79" s="109">
        <v>-247.96100000000001</v>
      </c>
      <c r="J79" s="109">
        <v>-13.355</v>
      </c>
      <c r="K79" s="110">
        <v>216.7</v>
      </c>
      <c r="L79" s="110">
        <v>251.7</v>
      </c>
      <c r="M79" s="110">
        <v>135.1</v>
      </c>
      <c r="N79" s="110">
        <v>34.5</v>
      </c>
      <c r="O79" s="110">
        <v>43.563000000000002</v>
      </c>
      <c r="P79" s="110">
        <v>32.08</v>
      </c>
      <c r="Q79" s="110">
        <v>9.6890000000000001</v>
      </c>
      <c r="R79" s="109">
        <v>-26.605</v>
      </c>
      <c r="S79" s="110">
        <v>7.98</v>
      </c>
    </row>
    <row r="80" spans="2:19" s="43" customFormat="1" x14ac:dyDescent="0.2">
      <c r="B80" s="54" t="s">
        <v>97</v>
      </c>
      <c r="C80" s="405">
        <v>0.27100000000000002</v>
      </c>
      <c r="D80" s="405">
        <v>0.78</v>
      </c>
      <c r="E80" s="405" t="s">
        <v>57</v>
      </c>
      <c r="F80" s="405" t="s">
        <v>57</v>
      </c>
      <c r="G80" s="308" t="s">
        <v>57</v>
      </c>
      <c r="H80" s="110" t="s">
        <v>57</v>
      </c>
      <c r="I80" s="110" t="s">
        <v>57</v>
      </c>
      <c r="J80" s="110" t="s">
        <v>57</v>
      </c>
      <c r="K80" s="110" t="s">
        <v>57</v>
      </c>
      <c r="L80" s="110">
        <v>0.6</v>
      </c>
      <c r="M80" s="110" t="s">
        <v>57</v>
      </c>
      <c r="N80" s="109">
        <v>-0.5</v>
      </c>
      <c r="O80" s="109">
        <v>-1.5549999999999999</v>
      </c>
      <c r="P80" s="109">
        <v>-1.341</v>
      </c>
      <c r="Q80" s="110">
        <v>-2.1000000000000001E-2</v>
      </c>
      <c r="R80" s="110">
        <v>3.2000000000000001E-2</v>
      </c>
      <c r="S80" s="109">
        <v>-7.62</v>
      </c>
    </row>
    <row r="81" spans="1:19" s="43" customFormat="1" x14ac:dyDescent="0.2">
      <c r="B81" s="54" t="s">
        <v>98</v>
      </c>
      <c r="C81" s="99">
        <v>-24.649000000000001</v>
      </c>
      <c r="D81" s="99">
        <v>54.16</v>
      </c>
      <c r="E81" s="99">
        <v>21.274999999999999</v>
      </c>
      <c r="F81" s="99">
        <v>-72.968000000000004</v>
      </c>
      <c r="G81" s="109">
        <v>-69.38</v>
      </c>
      <c r="H81" s="109">
        <v>-328.26</v>
      </c>
      <c r="I81" s="109">
        <v>-32.445999999999998</v>
      </c>
      <c r="J81" s="109">
        <v>-251.56700000000001</v>
      </c>
      <c r="K81" s="109">
        <v>-142.1</v>
      </c>
      <c r="L81" s="109">
        <v>-52.7</v>
      </c>
      <c r="M81" s="110">
        <v>39</v>
      </c>
      <c r="N81" s="110">
        <v>15.5</v>
      </c>
      <c r="O81" s="110">
        <v>25.864999999999998</v>
      </c>
      <c r="P81" s="110">
        <v>27.861999999999998</v>
      </c>
      <c r="Q81" s="110">
        <v>0.73099999999999998</v>
      </c>
      <c r="R81" s="109">
        <v>-351.44799999999998</v>
      </c>
      <c r="S81" s="109">
        <v>-23.315000000000001</v>
      </c>
    </row>
    <row r="82" spans="1:19" s="115" customFormat="1" ht="15" customHeight="1" x14ac:dyDescent="0.2">
      <c r="B82" s="117" t="s">
        <v>99</v>
      </c>
      <c r="C82" s="396">
        <f>SUM(C77:C81)</f>
        <v>379.2</v>
      </c>
      <c r="D82" s="396">
        <f>SUM(D77:D81)</f>
        <v>409.91499999999985</v>
      </c>
      <c r="E82" s="396">
        <f>SUM(E77:E81)</f>
        <v>326.74099999999999</v>
      </c>
      <c r="F82" s="396">
        <f>SUM(F77:F81)</f>
        <v>143.25100000000003</v>
      </c>
      <c r="G82" s="111">
        <v>147.30000000000001</v>
      </c>
      <c r="H82" s="111">
        <v>342.05900000000003</v>
      </c>
      <c r="I82" s="111">
        <f>SUM(I77:I81)</f>
        <v>646.32399999999996</v>
      </c>
      <c r="J82" s="111">
        <f>SUM(J77:J81)</f>
        <v>533.24</v>
      </c>
      <c r="K82" s="111">
        <v>872.8</v>
      </c>
      <c r="L82" s="111">
        <v>997.5</v>
      </c>
      <c r="M82" s="111">
        <f t="shared" ref="M82:S82" si="8">SUM(M77:M81)</f>
        <v>971.5</v>
      </c>
      <c r="N82" s="111">
        <f t="shared" si="8"/>
        <v>843.1</v>
      </c>
      <c r="O82" s="111">
        <f t="shared" si="8"/>
        <v>857.7360000000001</v>
      </c>
      <c r="P82" s="111">
        <f t="shared" si="8"/>
        <v>804.20100000000002</v>
      </c>
      <c r="Q82" s="111">
        <f t="shared" si="8"/>
        <v>756</v>
      </c>
      <c r="R82" s="111">
        <f t="shared" si="8"/>
        <v>438.43300000000011</v>
      </c>
      <c r="S82" s="111">
        <f t="shared" si="8"/>
        <v>795.86500000000001</v>
      </c>
    </row>
    <row r="83" spans="1:19" s="43" customFormat="1" x14ac:dyDescent="0.2">
      <c r="C83" s="322"/>
      <c r="D83" s="184"/>
      <c r="E83" s="402"/>
      <c r="F83" s="402"/>
      <c r="G83" s="143"/>
      <c r="H83" s="143"/>
      <c r="I83" s="143"/>
      <c r="J83" s="125"/>
      <c r="K83" s="125"/>
      <c r="L83" s="125"/>
      <c r="M83" s="125"/>
      <c r="N83" s="125"/>
      <c r="O83" s="128"/>
      <c r="P83" s="128"/>
      <c r="Q83" s="128"/>
      <c r="R83" s="128"/>
      <c r="S83" s="58"/>
    </row>
    <row r="84" spans="1:19" s="115" customFormat="1" ht="15" customHeight="1" x14ac:dyDescent="0.2">
      <c r="B84" s="114" t="s">
        <v>100</v>
      </c>
      <c r="C84" s="154">
        <v>16.585999999999999</v>
      </c>
      <c r="D84" s="154">
        <v>29.004999999999999</v>
      </c>
      <c r="E84" s="154">
        <v>39.345999999999997</v>
      </c>
      <c r="F84" s="154">
        <v>39.046999999999997</v>
      </c>
      <c r="G84" s="149">
        <v>39.046999999999997</v>
      </c>
      <c r="H84" s="149">
        <v>-6.7000000000000004E-2</v>
      </c>
      <c r="I84" s="126" t="s">
        <v>57</v>
      </c>
      <c r="J84" s="126" t="s">
        <v>57</v>
      </c>
      <c r="K84" s="126" t="s">
        <v>57</v>
      </c>
      <c r="L84" s="111">
        <v>1.1000000000000001</v>
      </c>
      <c r="M84" s="111">
        <v>2.7</v>
      </c>
      <c r="N84" s="111">
        <v>2.9</v>
      </c>
      <c r="O84" s="111">
        <v>5.1100000000000003</v>
      </c>
      <c r="P84" s="111">
        <v>11.54</v>
      </c>
      <c r="Q84" s="111">
        <v>11</v>
      </c>
      <c r="R84" s="111">
        <v>7.5590000000000002</v>
      </c>
      <c r="S84" s="111">
        <v>8.4120000000000008</v>
      </c>
    </row>
    <row r="85" spans="1:19" s="115" customFormat="1" ht="15" customHeight="1" x14ac:dyDescent="0.2">
      <c r="B85" s="114"/>
      <c r="C85" s="475"/>
      <c r="D85" s="114"/>
      <c r="E85" s="407"/>
      <c r="F85" s="407"/>
      <c r="G85" s="59"/>
      <c r="H85" s="59"/>
      <c r="I85" s="59"/>
      <c r="J85" s="59"/>
      <c r="K85" s="59"/>
      <c r="L85" s="59"/>
      <c r="M85" s="59"/>
      <c r="N85" s="59"/>
      <c r="O85" s="61"/>
      <c r="P85" s="61"/>
      <c r="Q85" s="61"/>
      <c r="R85" s="61"/>
      <c r="S85" s="61"/>
    </row>
    <row r="86" spans="1:19" s="115" customFormat="1" ht="15" customHeight="1" x14ac:dyDescent="0.2">
      <c r="B86" s="114" t="s">
        <v>101</v>
      </c>
      <c r="C86" s="396">
        <v>395.786</v>
      </c>
      <c r="D86" s="396">
        <v>438.92</v>
      </c>
      <c r="E86" s="396">
        <v>366.08699999999999</v>
      </c>
      <c r="F86" s="396">
        <f>F82+F84</f>
        <v>182.29800000000003</v>
      </c>
      <c r="G86" s="111">
        <v>186.369</v>
      </c>
      <c r="H86" s="111">
        <v>341.99200000000002</v>
      </c>
      <c r="I86" s="111">
        <v>646.32399999999996</v>
      </c>
      <c r="J86" s="111">
        <v>533.20500000000004</v>
      </c>
      <c r="K86" s="111">
        <v>872.8</v>
      </c>
      <c r="L86" s="111">
        <f>L82+L84</f>
        <v>998.6</v>
      </c>
      <c r="M86" s="111">
        <f>M82+M84+0.1</f>
        <v>974.30000000000007</v>
      </c>
      <c r="N86" s="111">
        <f t="shared" ref="N86:S86" si="9">N82+N84</f>
        <v>846</v>
      </c>
      <c r="O86" s="111">
        <f t="shared" si="9"/>
        <v>862.84600000000012</v>
      </c>
      <c r="P86" s="111">
        <f t="shared" si="9"/>
        <v>815.74099999999999</v>
      </c>
      <c r="Q86" s="111">
        <f t="shared" si="9"/>
        <v>767</v>
      </c>
      <c r="R86" s="111">
        <f t="shared" si="9"/>
        <v>445.99200000000013</v>
      </c>
      <c r="S86" s="111">
        <f t="shared" si="9"/>
        <v>804.27700000000004</v>
      </c>
    </row>
    <row r="87" spans="1:19" s="43" customFormat="1" x14ac:dyDescent="0.2">
      <c r="C87" s="322"/>
      <c r="D87" s="184"/>
      <c r="E87" s="402"/>
      <c r="F87" s="402"/>
      <c r="G87" s="146"/>
      <c r="H87" s="146"/>
      <c r="I87" s="146"/>
      <c r="J87" s="134"/>
      <c r="K87" s="134"/>
      <c r="L87" s="134"/>
      <c r="M87" s="134"/>
      <c r="N87" s="134"/>
      <c r="O87" s="137"/>
      <c r="P87" s="137"/>
      <c r="Q87" s="137"/>
      <c r="R87" s="137"/>
      <c r="S87" s="58"/>
    </row>
    <row r="88" spans="1:19" s="115" customFormat="1" ht="15" customHeight="1" x14ac:dyDescent="0.2">
      <c r="B88" s="114" t="s">
        <v>102</v>
      </c>
      <c r="C88" s="396">
        <v>855.46199999999999</v>
      </c>
      <c r="D88" s="396">
        <v>960.26800000000003</v>
      </c>
      <c r="E88" s="396">
        <f>E86+E74</f>
        <v>937.77</v>
      </c>
      <c r="F88" s="396">
        <f>F86+F74</f>
        <v>909.851</v>
      </c>
      <c r="G88" s="111">
        <v>913.92100000000005</v>
      </c>
      <c r="H88" s="111">
        <v>829.33799999999997</v>
      </c>
      <c r="I88" s="111">
        <v>1189.7280000000001</v>
      </c>
      <c r="J88" s="111">
        <v>1160.4870000000001</v>
      </c>
      <c r="K88" s="111">
        <v>1527.1</v>
      </c>
      <c r="L88" s="111">
        <f t="shared" ref="L88:S88" si="10">L86+L74</f>
        <v>1590.8000000000002</v>
      </c>
      <c r="M88" s="111">
        <f t="shared" si="10"/>
        <v>1597.9</v>
      </c>
      <c r="N88" s="111">
        <f t="shared" si="10"/>
        <v>1465.6</v>
      </c>
      <c r="O88" s="111">
        <f t="shared" si="10"/>
        <v>1491.317</v>
      </c>
      <c r="P88" s="111">
        <f t="shared" si="10"/>
        <v>1475.8530000000001</v>
      </c>
      <c r="Q88" s="111">
        <f t="shared" si="10"/>
        <v>1474.951</v>
      </c>
      <c r="R88" s="111">
        <f t="shared" si="10"/>
        <v>1390.624</v>
      </c>
      <c r="S88" s="111">
        <f t="shared" si="10"/>
        <v>1817.3700000000001</v>
      </c>
    </row>
    <row r="91" spans="1:19" x14ac:dyDescent="0.2">
      <c r="A91" s="20" t="s">
        <v>344</v>
      </c>
      <c r="B91" s="451" t="s">
        <v>351</v>
      </c>
      <c r="C91" s="451"/>
      <c r="D91" s="451"/>
      <c r="E91" s="451"/>
      <c r="F91" s="451"/>
      <c r="G91" s="451"/>
      <c r="H91" s="452"/>
      <c r="I91" s="452"/>
      <c r="J91" s="452"/>
      <c r="K91" s="452"/>
      <c r="L91" s="452"/>
      <c r="M91" s="453"/>
      <c r="N91" s="453"/>
      <c r="O91" s="453"/>
    </row>
  </sheetData>
  <mergeCells count="1">
    <mergeCell ref="B91:O91"/>
  </mergeCells>
  <printOptions horizontalCentered="1"/>
  <pageMargins left="0.74803149606299213" right="0.74803149606299213" top="0.98425196850393704" bottom="0.98425196850393704" header="0.51181102362204722" footer="0.51181102362204722"/>
  <pageSetup paperSize="8" scale="48" orientation="landscape" r:id="rId1"/>
  <headerFooter alignWithMargins="0"/>
  <ignoredErrors>
    <ignoredError sqref="H21:S21" numberStoredAsText="1"/>
    <ignoredError sqref="H7 D6:D7" formula="1"/>
    <ignoredError sqref="E1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29EA-B9A0-4AB4-A1DA-814800FC5555}">
  <sheetPr>
    <pageSetUpPr fitToPage="1"/>
  </sheetPr>
  <dimension ref="B1:T90"/>
  <sheetViews>
    <sheetView showGridLines="0" zoomScaleNormal="100" zoomScaleSheetLayoutView="115" workbookViewId="0">
      <selection activeCell="B9" sqref="B9"/>
    </sheetView>
  </sheetViews>
  <sheetFormatPr defaultRowHeight="12.75" x14ac:dyDescent="0.2"/>
  <cols>
    <col min="1" max="1" width="3.5703125" customWidth="1"/>
    <col min="2" max="2" width="61" customWidth="1"/>
    <col min="3" max="5" width="16.42578125" customWidth="1"/>
    <col min="6" max="7" width="16.42578125" style="74" customWidth="1"/>
    <col min="8" max="18" width="16.28515625" style="74" customWidth="1"/>
  </cols>
  <sheetData>
    <row r="1" spans="2:18" ht="26.25" x14ac:dyDescent="0.4">
      <c r="B1" s="2" t="s">
        <v>106</v>
      </c>
      <c r="C1" s="2"/>
      <c r="D1" s="2"/>
      <c r="E1" s="2"/>
      <c r="H1" s="91"/>
      <c r="I1" s="91"/>
      <c r="J1" s="91"/>
      <c r="K1" s="194"/>
      <c r="L1" s="194"/>
      <c r="M1" s="194"/>
      <c r="N1" s="194"/>
      <c r="O1" s="194"/>
      <c r="P1" s="194"/>
      <c r="Q1" s="194"/>
      <c r="R1" s="194"/>
    </row>
    <row r="2" spans="2:18" ht="13.5" thickBot="1" x14ac:dyDescent="0.25">
      <c r="B2" s="10"/>
      <c r="C2" s="10"/>
      <c r="D2" s="10"/>
      <c r="E2" s="10"/>
      <c r="F2" s="89"/>
      <c r="G2" s="89"/>
      <c r="H2" s="89"/>
      <c r="I2" s="89"/>
    </row>
    <row r="3" spans="2:18" s="9" customFormat="1" ht="25.5" customHeight="1" thickBot="1" x14ac:dyDescent="0.25">
      <c r="B3" s="198" t="s">
        <v>44</v>
      </c>
      <c r="C3" s="197" t="s">
        <v>372</v>
      </c>
      <c r="D3" s="197" t="s">
        <v>356</v>
      </c>
      <c r="E3" s="197" t="s">
        <v>336</v>
      </c>
      <c r="F3" s="197" t="s">
        <v>158</v>
      </c>
      <c r="G3" s="197" t="s">
        <v>159</v>
      </c>
      <c r="H3" s="197" t="s">
        <v>160</v>
      </c>
      <c r="I3" s="197" t="s">
        <v>161</v>
      </c>
      <c r="J3" s="197" t="s">
        <v>162</v>
      </c>
      <c r="K3" s="197" t="s">
        <v>163</v>
      </c>
      <c r="L3" s="197" t="s">
        <v>164</v>
      </c>
      <c r="M3" s="197" t="s">
        <v>165</v>
      </c>
      <c r="N3" s="197" t="s">
        <v>166</v>
      </c>
      <c r="O3" s="197" t="s">
        <v>167</v>
      </c>
      <c r="P3" s="197" t="s">
        <v>168</v>
      </c>
      <c r="Q3" s="197" t="s">
        <v>169</v>
      </c>
      <c r="R3" s="197" t="s">
        <v>170</v>
      </c>
    </row>
    <row r="4" spans="2:18" ht="22.5" customHeight="1" x14ac:dyDescent="0.2">
      <c r="B4" s="14" t="s">
        <v>16</v>
      </c>
      <c r="C4" s="243">
        <v>296.2</v>
      </c>
      <c r="D4" s="243">
        <v>291.89999999999998</v>
      </c>
      <c r="E4" s="91">
        <v>200.55510000000004</v>
      </c>
      <c r="F4" s="83">
        <v>196.7</v>
      </c>
      <c r="G4" s="83">
        <v>257.39999999999998</v>
      </c>
      <c r="H4" s="91">
        <v>251.7</v>
      </c>
      <c r="I4" s="192">
        <v>283.5</v>
      </c>
      <c r="J4" s="192">
        <v>305.2</v>
      </c>
      <c r="K4" s="193">
        <v>307.89999999999998</v>
      </c>
      <c r="L4" s="193">
        <v>294.89999999999998</v>
      </c>
      <c r="M4" s="193">
        <v>285</v>
      </c>
      <c r="N4" s="193">
        <v>309.2</v>
      </c>
      <c r="O4" s="193">
        <v>293.39999999999998</v>
      </c>
      <c r="P4" s="193">
        <v>309.2</v>
      </c>
      <c r="Q4" s="193">
        <v>382.5</v>
      </c>
      <c r="R4" s="194">
        <v>386.5</v>
      </c>
    </row>
    <row r="5" spans="2:18" ht="22.5" customHeight="1" x14ac:dyDescent="0.2">
      <c r="B5" t="s">
        <v>310</v>
      </c>
      <c r="C5" s="91">
        <f>92.3+36.5</f>
        <v>128.80000000000001</v>
      </c>
      <c r="D5" s="91">
        <f>112.7+37.3</f>
        <v>150</v>
      </c>
      <c r="E5" s="91">
        <v>152.4811</v>
      </c>
      <c r="F5" s="91">
        <f>F33+F34</f>
        <v>185.226</v>
      </c>
      <c r="G5" s="91">
        <v>242</v>
      </c>
      <c r="H5" s="91">
        <f t="shared" ref="H5:R5" si="0">H33</f>
        <v>184.06</v>
      </c>
      <c r="I5" s="91">
        <f t="shared" si="0"/>
        <v>193.4</v>
      </c>
      <c r="J5" s="91">
        <f t="shared" si="0"/>
        <v>195.7</v>
      </c>
      <c r="K5" s="91">
        <f t="shared" si="0"/>
        <v>202.8</v>
      </c>
      <c r="L5" s="91">
        <f t="shared" si="0"/>
        <v>195</v>
      </c>
      <c r="M5" s="91">
        <f t="shared" si="0"/>
        <v>200.352</v>
      </c>
      <c r="N5" s="91">
        <f t="shared" si="0"/>
        <v>210.7</v>
      </c>
      <c r="O5" s="91">
        <f t="shared" si="0"/>
        <v>202.88800000000001</v>
      </c>
      <c r="P5" s="91">
        <f t="shared" si="0"/>
        <v>212.99600000000001</v>
      </c>
      <c r="Q5" s="91">
        <f t="shared" si="0"/>
        <v>226.666</v>
      </c>
      <c r="R5" s="91">
        <f t="shared" si="0"/>
        <v>215.02500000000001</v>
      </c>
    </row>
    <row r="6" spans="2:18" ht="22.5" customHeight="1" x14ac:dyDescent="0.2">
      <c r="B6" t="s">
        <v>330</v>
      </c>
      <c r="C6" s="91">
        <f>123.7+34.3</f>
        <v>158</v>
      </c>
      <c r="D6" s="91">
        <f>143.4+35.8</f>
        <v>179.2</v>
      </c>
      <c r="E6" s="91">
        <v>178.89409999999998</v>
      </c>
      <c r="F6" s="91">
        <f>F35+F36</f>
        <v>196.25200000000001</v>
      </c>
      <c r="G6" s="91">
        <v>55.7</v>
      </c>
      <c r="H6" s="91">
        <f t="shared" ref="H6:R6" si="1">H35+H36</f>
        <v>285.85599999999999</v>
      </c>
      <c r="I6" s="91">
        <f t="shared" si="1"/>
        <v>489.9</v>
      </c>
      <c r="J6" s="91">
        <f t="shared" si="1"/>
        <v>640.1</v>
      </c>
      <c r="K6" s="91">
        <f t="shared" si="1"/>
        <v>673.5</v>
      </c>
      <c r="L6" s="91">
        <f t="shared" si="1"/>
        <v>592.1</v>
      </c>
      <c r="M6" s="91">
        <f t="shared" si="1"/>
        <v>601.52800000000002</v>
      </c>
      <c r="N6" s="91">
        <f t="shared" si="1"/>
        <v>623.29999999999995</v>
      </c>
      <c r="O6" s="91">
        <f t="shared" si="1"/>
        <v>537.26400000000001</v>
      </c>
      <c r="P6" s="91">
        <f t="shared" si="1"/>
        <v>598.76099999999997</v>
      </c>
      <c r="Q6" s="91">
        <f t="shared" si="1"/>
        <v>709.57600000000002</v>
      </c>
      <c r="R6" s="91">
        <f t="shared" si="1"/>
        <v>781.995</v>
      </c>
    </row>
    <row r="7" spans="2:18" ht="22.5" customHeight="1" x14ac:dyDescent="0.2">
      <c r="B7" t="s">
        <v>18</v>
      </c>
      <c r="C7" s="199" t="s">
        <v>57</v>
      </c>
      <c r="D7" s="199" t="s">
        <v>57</v>
      </c>
      <c r="E7" s="199" t="s">
        <v>57</v>
      </c>
      <c r="F7" s="199" t="s">
        <v>57</v>
      </c>
      <c r="G7" s="199" t="s">
        <v>57</v>
      </c>
      <c r="H7" s="199" t="s">
        <v>57</v>
      </c>
      <c r="I7" s="199" t="s">
        <v>57</v>
      </c>
      <c r="J7" s="199" t="s">
        <v>57</v>
      </c>
      <c r="K7" s="194">
        <v>7.1</v>
      </c>
      <c r="L7" s="194">
        <v>7.7</v>
      </c>
      <c r="M7" s="194">
        <v>9.8000000000000007</v>
      </c>
      <c r="N7" s="194">
        <v>12.3</v>
      </c>
      <c r="O7" s="194">
        <v>11.3</v>
      </c>
      <c r="P7" s="194">
        <v>14.106999999999999</v>
      </c>
      <c r="Q7" s="194">
        <v>12.6</v>
      </c>
      <c r="R7" s="194">
        <v>13.4</v>
      </c>
    </row>
    <row r="8" spans="2:18" ht="22.5" customHeight="1" x14ac:dyDescent="0.2">
      <c r="B8" t="s">
        <v>19</v>
      </c>
      <c r="C8" s="74">
        <v>4.8</v>
      </c>
      <c r="D8" s="74">
        <v>2.2999999999999998</v>
      </c>
      <c r="E8" s="84">
        <v>11.45</v>
      </c>
      <c r="F8" s="177">
        <v>5.5</v>
      </c>
      <c r="G8" s="177">
        <v>0.5</v>
      </c>
      <c r="H8" s="91">
        <v>0</v>
      </c>
      <c r="I8" s="91">
        <v>1.4450000000000001</v>
      </c>
      <c r="J8" s="91">
        <v>9.6999999999999993</v>
      </c>
      <c r="K8" s="194">
        <v>1.6</v>
      </c>
      <c r="L8" s="194">
        <v>0</v>
      </c>
      <c r="M8" s="194">
        <v>0</v>
      </c>
      <c r="N8" s="194">
        <v>0</v>
      </c>
      <c r="O8" s="194">
        <v>0</v>
      </c>
      <c r="P8" s="194">
        <v>0</v>
      </c>
      <c r="Q8" s="194">
        <v>0</v>
      </c>
      <c r="R8" s="194">
        <v>0</v>
      </c>
    </row>
    <row r="9" spans="2:18" ht="22.5" customHeight="1" x14ac:dyDescent="0.2">
      <c r="B9" t="s">
        <v>20</v>
      </c>
      <c r="C9" s="195">
        <f>-9.2-28.8-27.7</f>
        <v>-65.7</v>
      </c>
      <c r="D9" s="195">
        <f>-18-26.4-42.5</f>
        <v>-86.9</v>
      </c>
      <c r="E9" s="195">
        <v>-115.4543</v>
      </c>
      <c r="F9" s="195">
        <v>-187.9</v>
      </c>
      <c r="G9" s="195">
        <f>-25.1-58.3</f>
        <v>-83.4</v>
      </c>
      <c r="H9" s="195">
        <f>-27.7+6.9</f>
        <v>-20.799999999999997</v>
      </c>
      <c r="I9" s="195">
        <f>-29.7-18.3</f>
        <v>-48</v>
      </c>
      <c r="J9" s="195">
        <f>-33.2-16.7</f>
        <v>-49.900000000000006</v>
      </c>
      <c r="K9" s="196">
        <f>-32.5+0.8</f>
        <v>-31.7</v>
      </c>
      <c r="L9" s="196">
        <v>-39.5</v>
      </c>
      <c r="M9" s="196">
        <v>-14.199999999999996</v>
      </c>
      <c r="N9" s="196">
        <v>-31.6</v>
      </c>
      <c r="O9" s="196">
        <v>-49.2</v>
      </c>
      <c r="P9" s="196">
        <v>-59.863999999999947</v>
      </c>
      <c r="Q9" s="196">
        <v>-72.042000000000002</v>
      </c>
      <c r="R9" s="194">
        <v>-51.8</v>
      </c>
    </row>
    <row r="10" spans="2:18" ht="12" customHeight="1" x14ac:dyDescent="0.2">
      <c r="E10" s="74"/>
      <c r="I10" s="91"/>
      <c r="J10" s="91"/>
      <c r="K10" s="194"/>
      <c r="L10" s="194"/>
      <c r="M10" s="194"/>
      <c r="N10" s="194"/>
      <c r="O10" s="194"/>
      <c r="P10" s="194"/>
      <c r="Q10" s="194"/>
      <c r="R10" s="194"/>
    </row>
    <row r="11" spans="2:18" s="105" customFormat="1" ht="22.5" customHeight="1" x14ac:dyDescent="0.2">
      <c r="B11" s="106" t="s">
        <v>309</v>
      </c>
      <c r="C11" s="306">
        <v>522</v>
      </c>
      <c r="D11" s="306">
        <v>536.6</v>
      </c>
      <c r="E11" s="306">
        <v>427.92600000000004</v>
      </c>
      <c r="F11" s="306">
        <v>395.7</v>
      </c>
      <c r="G11" s="306">
        <f>+SUM(G4:G10)</f>
        <v>472.20000000000005</v>
      </c>
      <c r="H11" s="306">
        <f>+SUM(H4:H10)</f>
        <v>700.81600000000003</v>
      </c>
      <c r="I11" s="306">
        <f>+SUM(I4:I10)</f>
        <v>920.245</v>
      </c>
      <c r="J11" s="306">
        <f>+SUM(J4:J10)</f>
        <v>1100.8</v>
      </c>
      <c r="K11" s="306">
        <f>+SUM(K4:K10)</f>
        <v>1161.1999999999998</v>
      </c>
      <c r="L11" s="306">
        <v>1050.2</v>
      </c>
      <c r="M11" s="306">
        <v>1082.5</v>
      </c>
      <c r="N11" s="306">
        <v>1123.9000000000001</v>
      </c>
      <c r="O11" s="306">
        <v>995.8</v>
      </c>
      <c r="P11" s="306">
        <v>1075.2</v>
      </c>
      <c r="Q11" s="306">
        <v>1259.3</v>
      </c>
      <c r="R11" s="306">
        <v>1345.1</v>
      </c>
    </row>
    <row r="12" spans="2:18" ht="22.5" customHeight="1" x14ac:dyDescent="0.2">
      <c r="B12" t="s">
        <v>21</v>
      </c>
      <c r="C12" s="91">
        <v>103</v>
      </c>
      <c r="D12" s="91">
        <v>105.6</v>
      </c>
      <c r="E12" s="91">
        <v>226.86380000000003</v>
      </c>
      <c r="F12" s="74">
        <v>188.5</v>
      </c>
      <c r="G12" s="74">
        <v>77.400000000000006</v>
      </c>
      <c r="H12" s="74">
        <v>171.1</v>
      </c>
      <c r="I12" s="91">
        <v>112.7</v>
      </c>
      <c r="J12" s="91">
        <v>102.8</v>
      </c>
      <c r="K12" s="194">
        <v>110.1</v>
      </c>
      <c r="L12" s="194">
        <v>166.1</v>
      </c>
      <c r="M12" s="194">
        <v>200.8</v>
      </c>
      <c r="N12" s="194">
        <v>231</v>
      </c>
      <c r="O12" s="194">
        <v>240.3</v>
      </c>
      <c r="P12" s="194">
        <v>269.39999999999998</v>
      </c>
      <c r="Q12" s="194">
        <v>592.14400000000001</v>
      </c>
      <c r="R12" s="194">
        <v>541.20000000000005</v>
      </c>
    </row>
    <row r="13" spans="2:18" ht="22.5" customHeight="1" x14ac:dyDescent="0.2">
      <c r="B13" t="s">
        <v>22</v>
      </c>
      <c r="C13" s="91">
        <v>24.9</v>
      </c>
      <c r="D13" s="91">
        <v>31.6</v>
      </c>
      <c r="E13" s="91">
        <v>39.754199999999997</v>
      </c>
      <c r="F13" s="74">
        <v>44.4</v>
      </c>
      <c r="G13" s="91">
        <v>0</v>
      </c>
      <c r="H13" s="91">
        <v>0</v>
      </c>
      <c r="I13" s="91">
        <v>0</v>
      </c>
      <c r="J13" s="91">
        <v>1.3</v>
      </c>
      <c r="K13" s="194">
        <v>2.2999999999999998</v>
      </c>
      <c r="L13" s="194">
        <v>2.2999999999999998</v>
      </c>
      <c r="M13" s="194">
        <v>3</v>
      </c>
      <c r="N13" s="194">
        <v>6.43</v>
      </c>
      <c r="O13" s="194">
        <v>12.1</v>
      </c>
      <c r="P13" s="194">
        <v>11.975</v>
      </c>
      <c r="Q13" s="194">
        <v>8.9</v>
      </c>
      <c r="R13" s="194">
        <v>5</v>
      </c>
    </row>
    <row r="14" spans="2:18" s="7" customFormat="1" ht="22.5" customHeight="1" x14ac:dyDescent="0.2">
      <c r="B14" s="7" t="s">
        <v>23</v>
      </c>
      <c r="C14" s="205">
        <v>394.1</v>
      </c>
      <c r="D14" s="205">
        <v>399.4</v>
      </c>
      <c r="E14" s="205">
        <v>161.3082</v>
      </c>
      <c r="F14" s="97">
        <v>162.80000000000001</v>
      </c>
      <c r="G14" s="97">
        <v>394.8</v>
      </c>
      <c r="H14" s="97">
        <v>529.79999999999995</v>
      </c>
      <c r="I14" s="205">
        <v>807.6</v>
      </c>
      <c r="J14" s="205">
        <v>996.7</v>
      </c>
      <c r="K14" s="305">
        <v>1048.8</v>
      </c>
      <c r="L14" s="305">
        <v>881.9</v>
      </c>
      <c r="M14" s="305">
        <v>878.7</v>
      </c>
      <c r="N14" s="305">
        <v>886.6</v>
      </c>
      <c r="O14" s="305">
        <v>743.4</v>
      </c>
      <c r="P14" s="305">
        <v>793.9</v>
      </c>
      <c r="Q14" s="305">
        <v>658.30799999999999</v>
      </c>
      <c r="R14" s="305">
        <v>798.9</v>
      </c>
    </row>
    <row r="15" spans="2:18" s="105" customFormat="1" ht="22.5" customHeight="1" x14ac:dyDescent="0.2">
      <c r="B15" s="106" t="s">
        <v>311</v>
      </c>
      <c r="C15" s="306">
        <f>C11</f>
        <v>522</v>
      </c>
      <c r="D15" s="306">
        <f>D11</f>
        <v>536.6</v>
      </c>
      <c r="E15" s="306">
        <v>427.92620000000005</v>
      </c>
      <c r="F15" s="306">
        <v>395.7</v>
      </c>
      <c r="G15" s="306">
        <v>472.20000000000005</v>
      </c>
      <c r="H15" s="306">
        <v>700.81600000000003</v>
      </c>
      <c r="I15" s="306">
        <v>920.245</v>
      </c>
      <c r="J15" s="306">
        <v>1100.8</v>
      </c>
      <c r="K15" s="306">
        <v>1161.1999999999998</v>
      </c>
      <c r="L15" s="306">
        <v>1050.2</v>
      </c>
      <c r="M15" s="306">
        <v>1082.5</v>
      </c>
      <c r="N15" s="306">
        <v>1123.9000000000001</v>
      </c>
      <c r="O15" s="306">
        <v>995.8</v>
      </c>
      <c r="P15" s="306">
        <v>1075.2</v>
      </c>
      <c r="Q15" s="306">
        <v>1259.3</v>
      </c>
      <c r="R15" s="306">
        <v>1345.1</v>
      </c>
    </row>
    <row r="16" spans="2:18" x14ac:dyDescent="0.2">
      <c r="F16" s="26"/>
      <c r="G16" s="26"/>
      <c r="J16" s="91"/>
      <c r="K16" s="91"/>
      <c r="L16" s="91"/>
      <c r="M16" s="91"/>
      <c r="N16" s="91"/>
      <c r="O16" s="91"/>
      <c r="P16" s="91"/>
      <c r="Q16" s="91"/>
      <c r="R16" s="91"/>
    </row>
    <row r="17" spans="2:18" x14ac:dyDescent="0.2">
      <c r="F17" s="26"/>
      <c r="G17" s="26"/>
      <c r="J17" s="91"/>
      <c r="K17" s="91"/>
      <c r="L17" s="91"/>
      <c r="M17" s="91"/>
      <c r="N17" s="91"/>
      <c r="O17" s="91"/>
      <c r="P17" s="91"/>
      <c r="Q17" s="91"/>
      <c r="R17" s="91"/>
    </row>
    <row r="18" spans="2:18" s="184" customFormat="1" ht="26.25" x14ac:dyDescent="0.4">
      <c r="B18" s="185" t="s">
        <v>103</v>
      </c>
      <c r="C18" s="185"/>
      <c r="D18" s="185"/>
      <c r="E18" s="185"/>
      <c r="F18" s="140"/>
      <c r="G18" s="140"/>
      <c r="H18" s="140"/>
      <c r="I18" s="118"/>
      <c r="J18" s="118"/>
      <c r="K18" s="118"/>
      <c r="L18" s="118"/>
      <c r="M18" s="118"/>
      <c r="N18" s="118"/>
      <c r="O18" s="118"/>
      <c r="P18" s="118"/>
      <c r="Q18" s="118"/>
      <c r="R18" s="118"/>
    </row>
    <row r="19" spans="2:18" s="184" customFormat="1" ht="13.5" thickBot="1" x14ac:dyDescent="0.25">
      <c r="F19" s="141"/>
      <c r="G19" s="141"/>
      <c r="H19" s="141"/>
      <c r="I19" s="119"/>
      <c r="J19" s="119"/>
      <c r="K19" s="119"/>
      <c r="L19" s="119"/>
      <c r="M19" s="119"/>
      <c r="N19" s="119"/>
      <c r="O19" s="119"/>
      <c r="P19" s="119"/>
      <c r="Q19" s="119"/>
      <c r="R19" s="119"/>
    </row>
    <row r="20" spans="2:18" s="9" customFormat="1" ht="25.5" customHeight="1" thickBot="1" x14ac:dyDescent="0.25">
      <c r="B20" s="198" t="s">
        <v>44</v>
      </c>
      <c r="C20" s="197" t="s">
        <v>372</v>
      </c>
      <c r="D20" s="197" t="s">
        <v>356</v>
      </c>
      <c r="E20" s="197" t="s">
        <v>336</v>
      </c>
      <c r="F20" s="197" t="s">
        <v>158</v>
      </c>
      <c r="G20" s="197" t="s">
        <v>159</v>
      </c>
      <c r="H20" s="197" t="s">
        <v>160</v>
      </c>
      <c r="I20" s="197" t="s">
        <v>161</v>
      </c>
      <c r="J20" s="197" t="s">
        <v>162</v>
      </c>
      <c r="K20" s="197" t="s">
        <v>163</v>
      </c>
      <c r="L20" s="197" t="s">
        <v>164</v>
      </c>
      <c r="M20" s="197" t="s">
        <v>165</v>
      </c>
      <c r="N20" s="197" t="s">
        <v>166</v>
      </c>
      <c r="O20" s="197" t="s">
        <v>167</v>
      </c>
      <c r="P20" s="197" t="s">
        <v>168</v>
      </c>
      <c r="Q20" s="197" t="s">
        <v>169</v>
      </c>
      <c r="R20" s="197" t="s">
        <v>170</v>
      </c>
    </row>
    <row r="21" spans="2:18" s="184" customFormat="1" ht="13.5" customHeight="1" x14ac:dyDescent="0.2">
      <c r="B21" s="112"/>
      <c r="C21" s="112"/>
      <c r="D21" s="112"/>
      <c r="E21" s="112"/>
      <c r="F21" s="141"/>
      <c r="G21" s="141"/>
      <c r="H21" s="141"/>
      <c r="I21" s="120"/>
      <c r="J21" s="120"/>
      <c r="K21" s="120"/>
      <c r="L21" s="120"/>
      <c r="M21" s="120"/>
      <c r="N21" s="121"/>
      <c r="O21" s="121"/>
      <c r="P21" s="121"/>
      <c r="Q21" s="121"/>
      <c r="R21" s="120"/>
    </row>
    <row r="22" spans="2:18" s="184" customFormat="1" x14ac:dyDescent="0.2">
      <c r="B22" s="113" t="s">
        <v>58</v>
      </c>
      <c r="C22" s="113"/>
      <c r="D22" s="113"/>
      <c r="E22" s="113"/>
      <c r="F22" s="142"/>
      <c r="G22" s="142"/>
      <c r="H22" s="142"/>
      <c r="I22" s="122"/>
      <c r="J22" s="122"/>
      <c r="K22" s="122"/>
      <c r="L22" s="122"/>
      <c r="M22" s="122"/>
      <c r="N22" s="123"/>
      <c r="O22" s="123"/>
      <c r="P22" s="123"/>
      <c r="Q22" s="123"/>
      <c r="R22" s="122"/>
    </row>
    <row r="23" spans="2:18" s="184" customFormat="1" ht="6" customHeight="1" x14ac:dyDescent="0.2">
      <c r="F23" s="141"/>
      <c r="G23" s="141"/>
      <c r="H23" s="141"/>
      <c r="I23" s="58"/>
      <c r="J23" s="58"/>
      <c r="K23" s="58"/>
      <c r="L23" s="58"/>
      <c r="M23" s="58"/>
      <c r="N23" s="58"/>
      <c r="O23" s="58"/>
      <c r="P23" s="58"/>
      <c r="Q23" s="58"/>
      <c r="R23" s="58"/>
    </row>
    <row r="24" spans="2:18" s="184" customFormat="1" x14ac:dyDescent="0.2">
      <c r="B24" s="187" t="s">
        <v>59</v>
      </c>
      <c r="C24" s="187"/>
      <c r="D24" s="187"/>
      <c r="E24" s="187"/>
      <c r="F24" s="141"/>
      <c r="G24" s="141"/>
      <c r="H24" s="141"/>
      <c r="I24" s="58"/>
      <c r="J24" s="58"/>
      <c r="K24" s="58"/>
      <c r="L24" s="58"/>
      <c r="M24" s="58"/>
      <c r="N24" s="124"/>
      <c r="O24" s="124"/>
      <c r="P24" s="124"/>
      <c r="Q24" s="124"/>
      <c r="R24" s="58"/>
    </row>
    <row r="25" spans="2:18" s="184" customFormat="1" x14ac:dyDescent="0.2">
      <c r="B25" s="189" t="s">
        <v>60</v>
      </c>
      <c r="C25" s="245">
        <v>71.2</v>
      </c>
      <c r="D25" s="148">
        <v>78.674000000000007</v>
      </c>
      <c r="E25" s="148">
        <v>71.229200000000006</v>
      </c>
      <c r="F25" s="148">
        <v>110.875</v>
      </c>
      <c r="G25" s="148">
        <v>102.91</v>
      </c>
      <c r="H25" s="148">
        <v>112.935</v>
      </c>
      <c r="I25" s="148">
        <v>78.2</v>
      </c>
      <c r="J25" s="148">
        <v>72</v>
      </c>
      <c r="K25" s="148">
        <v>80.099999999999994</v>
      </c>
      <c r="L25" s="148">
        <v>90.7</v>
      </c>
      <c r="M25" s="148">
        <v>70.221000000000004</v>
      </c>
      <c r="N25" s="148">
        <v>56.3</v>
      </c>
      <c r="O25" s="148">
        <v>99.251000000000005</v>
      </c>
      <c r="P25" s="148">
        <v>105.68899999999999</v>
      </c>
      <c r="Q25" s="148">
        <v>47.890999999999998</v>
      </c>
      <c r="R25" s="148">
        <v>57.95</v>
      </c>
    </row>
    <row r="26" spans="2:18" s="184" customFormat="1" x14ac:dyDescent="0.2">
      <c r="B26" s="189" t="s">
        <v>61</v>
      </c>
      <c r="C26" s="245">
        <v>227.3</v>
      </c>
      <c r="D26" s="148">
        <v>241.108</v>
      </c>
      <c r="E26" s="148">
        <v>220.63489999999999</v>
      </c>
      <c r="F26" s="148">
        <v>150.32599999999999</v>
      </c>
      <c r="G26" s="148">
        <v>199.524</v>
      </c>
      <c r="H26" s="148">
        <v>185.82499999999999</v>
      </c>
      <c r="I26" s="148">
        <v>235.9</v>
      </c>
      <c r="J26" s="148">
        <v>266.7</v>
      </c>
      <c r="K26" s="148">
        <v>279.8</v>
      </c>
      <c r="L26" s="148">
        <v>280.5</v>
      </c>
      <c r="M26" s="148">
        <v>274.99299999999999</v>
      </c>
      <c r="N26" s="148">
        <v>309.39999999999998</v>
      </c>
      <c r="O26" s="148">
        <v>289.226</v>
      </c>
      <c r="P26" s="148">
        <v>310.40800000000002</v>
      </c>
      <c r="Q26" s="148">
        <v>307.37</v>
      </c>
      <c r="R26" s="148">
        <v>342.32</v>
      </c>
    </row>
    <row r="27" spans="2:18" s="184" customFormat="1" x14ac:dyDescent="0.2">
      <c r="B27" s="189" t="s">
        <v>62</v>
      </c>
      <c r="C27" s="245">
        <v>230.7</v>
      </c>
      <c r="D27" s="148">
        <v>252.72800000000001</v>
      </c>
      <c r="E27" s="148">
        <v>195.06299999999999</v>
      </c>
      <c r="F27" s="148">
        <v>228.417</v>
      </c>
      <c r="G27" s="148">
        <v>218.089</v>
      </c>
      <c r="H27" s="148">
        <v>245.23599999999999</v>
      </c>
      <c r="I27" s="148">
        <v>271.10000000000002</v>
      </c>
      <c r="J27" s="148">
        <v>268.60000000000002</v>
      </c>
      <c r="K27" s="148">
        <v>247.5</v>
      </c>
      <c r="L27" s="148">
        <v>230.6</v>
      </c>
      <c r="M27" s="148">
        <v>193.44200000000001</v>
      </c>
      <c r="N27" s="148">
        <v>216.6</v>
      </c>
      <c r="O27" s="148">
        <v>192.13200000000001</v>
      </c>
      <c r="P27" s="148">
        <v>195.73699999999999</v>
      </c>
      <c r="Q27" s="148">
        <v>233.041</v>
      </c>
      <c r="R27" s="148">
        <v>241.86</v>
      </c>
    </row>
    <row r="28" spans="2:18" s="184" customFormat="1" x14ac:dyDescent="0.2">
      <c r="B28" s="184" t="s">
        <v>63</v>
      </c>
      <c r="C28" s="91">
        <v>0.69679999999999997</v>
      </c>
      <c r="D28" s="91">
        <v>1.8979999999999999</v>
      </c>
      <c r="E28" s="91">
        <v>0.16589999999999999</v>
      </c>
      <c r="F28" s="91">
        <v>0.20699999999999999</v>
      </c>
      <c r="G28" s="148">
        <v>0.61199999999999999</v>
      </c>
      <c r="H28" s="91">
        <v>2.4220000000000002</v>
      </c>
      <c r="I28" s="91">
        <v>0.1</v>
      </c>
      <c r="J28" s="91">
        <v>4.0999999999999996</v>
      </c>
      <c r="K28" s="91">
        <v>1.3</v>
      </c>
      <c r="L28" s="91">
        <v>0.03</v>
      </c>
      <c r="M28" s="91">
        <v>0.79400000000000004</v>
      </c>
      <c r="N28" s="91">
        <v>1.5</v>
      </c>
      <c r="O28" s="91">
        <v>0.13400000000000001</v>
      </c>
      <c r="P28" s="91">
        <v>0</v>
      </c>
      <c r="Q28" s="91"/>
      <c r="R28" s="91">
        <v>0.63500000000000001</v>
      </c>
    </row>
    <row r="29" spans="2:18" s="184" customFormat="1" x14ac:dyDescent="0.2">
      <c r="B29" s="184" t="s">
        <v>64</v>
      </c>
      <c r="C29" s="148">
        <v>41.658000000000001</v>
      </c>
      <c r="D29" s="148">
        <v>46.365000000000002</v>
      </c>
      <c r="E29" s="148">
        <v>64.597700000000003</v>
      </c>
      <c r="F29" s="148">
        <v>53.06</v>
      </c>
      <c r="G29" s="148">
        <v>39.027000000000001</v>
      </c>
      <c r="H29" s="148">
        <v>93.015000000000001</v>
      </c>
      <c r="I29" s="148">
        <v>70.099999999999994</v>
      </c>
      <c r="J29" s="148">
        <v>53.1</v>
      </c>
      <c r="K29" s="148">
        <v>54.3</v>
      </c>
      <c r="L29" s="148">
        <v>55.5</v>
      </c>
      <c r="M29" s="148">
        <v>46.832000000000001</v>
      </c>
      <c r="N29" s="148">
        <v>52.9</v>
      </c>
      <c r="O29" s="148">
        <v>52.418999999999997</v>
      </c>
      <c r="P29" s="148">
        <v>63.081000000000003</v>
      </c>
      <c r="Q29" s="148">
        <v>48.564999999999998</v>
      </c>
      <c r="R29" s="148">
        <v>33.130000000000003</v>
      </c>
    </row>
    <row r="30" spans="2:18" s="188" customFormat="1" ht="15" customHeight="1" x14ac:dyDescent="0.2">
      <c r="B30" s="114" t="s">
        <v>65</v>
      </c>
      <c r="C30" s="425">
        <f>SUM(C25:C29)</f>
        <v>571.55480000000011</v>
      </c>
      <c r="D30" s="425">
        <f>SUM(D25:D29)</f>
        <v>620.77300000000002</v>
      </c>
      <c r="E30" s="111">
        <v>551.69069999999999</v>
      </c>
      <c r="F30" s="111">
        <v>542.88499999999999</v>
      </c>
      <c r="G30" s="111">
        <v>560.16200000000003</v>
      </c>
      <c r="H30" s="111">
        <f>SUM(H25:H29)</f>
        <v>639.43299999999999</v>
      </c>
      <c r="I30" s="111">
        <v>655.4</v>
      </c>
      <c r="J30" s="111">
        <v>664.6</v>
      </c>
      <c r="K30" s="111">
        <v>663</v>
      </c>
      <c r="L30" s="111">
        <v>657.3</v>
      </c>
      <c r="M30" s="111">
        <v>586.28199999999993</v>
      </c>
      <c r="N30" s="111">
        <v>636.69999999999993</v>
      </c>
      <c r="O30" s="111">
        <v>633.16199999999992</v>
      </c>
      <c r="P30" s="111">
        <v>674.91499999999996</v>
      </c>
      <c r="Q30" s="111">
        <v>636.86699999999996</v>
      </c>
      <c r="R30" s="111">
        <v>675.89499999999998</v>
      </c>
    </row>
    <row r="31" spans="2:18" s="184" customFormat="1" x14ac:dyDescent="0.2">
      <c r="E31" s="143"/>
      <c r="F31" s="143"/>
      <c r="G31" s="143"/>
      <c r="H31" s="143"/>
      <c r="I31" s="143"/>
      <c r="J31" s="143"/>
      <c r="K31" s="143"/>
      <c r="L31" s="143"/>
      <c r="M31" s="143"/>
      <c r="N31" s="143"/>
      <c r="O31" s="143"/>
      <c r="P31" s="143"/>
      <c r="Q31" s="143"/>
      <c r="R31" s="143"/>
    </row>
    <row r="32" spans="2:18" s="184" customFormat="1" x14ac:dyDescent="0.2">
      <c r="B32" s="187" t="s">
        <v>66</v>
      </c>
      <c r="C32" s="187"/>
      <c r="D32" s="187"/>
      <c r="E32" s="144"/>
      <c r="F32" s="144"/>
      <c r="G32" s="144"/>
      <c r="H32" s="144"/>
      <c r="I32" s="144"/>
      <c r="J32" s="144"/>
      <c r="K32" s="144"/>
      <c r="L32" s="144"/>
      <c r="M32" s="144"/>
      <c r="N32" s="144"/>
      <c r="O32" s="144"/>
      <c r="P32" s="144"/>
      <c r="Q32" s="144"/>
      <c r="R32" s="144"/>
    </row>
    <row r="33" spans="2:18" s="184" customFormat="1" x14ac:dyDescent="0.2">
      <c r="B33" s="184" t="s">
        <v>67</v>
      </c>
      <c r="C33" s="110">
        <v>92.265025880000096</v>
      </c>
      <c r="D33" s="110">
        <v>112.667</v>
      </c>
      <c r="E33" s="110">
        <v>116.506</v>
      </c>
      <c r="F33" s="110">
        <v>140.28700000000001</v>
      </c>
      <c r="G33" s="110">
        <v>201.57599999999999</v>
      </c>
      <c r="H33" s="110">
        <v>184.06</v>
      </c>
      <c r="I33" s="110">
        <v>193.4</v>
      </c>
      <c r="J33" s="110">
        <v>195.7</v>
      </c>
      <c r="K33" s="110">
        <v>202.8</v>
      </c>
      <c r="L33" s="110">
        <v>195</v>
      </c>
      <c r="M33" s="110">
        <v>200.352</v>
      </c>
      <c r="N33" s="110">
        <v>210.7</v>
      </c>
      <c r="O33" s="110">
        <v>202.88800000000001</v>
      </c>
      <c r="P33" s="110">
        <v>212.99600000000001</v>
      </c>
      <c r="Q33" s="110">
        <v>226.666</v>
      </c>
      <c r="R33" s="110">
        <v>215.02500000000001</v>
      </c>
    </row>
    <row r="34" spans="2:18" s="184" customFormat="1" x14ac:dyDescent="0.2">
      <c r="B34" t="s">
        <v>104</v>
      </c>
      <c r="C34" s="110">
        <v>36.470199999999998</v>
      </c>
      <c r="D34" s="110">
        <v>37.337000000000003</v>
      </c>
      <c r="E34" s="110">
        <v>35.975099999999998</v>
      </c>
      <c r="F34" s="110">
        <v>44.939</v>
      </c>
      <c r="G34" s="58" t="s">
        <v>57</v>
      </c>
      <c r="H34" s="110" t="s">
        <v>57</v>
      </c>
      <c r="I34" s="110" t="s">
        <v>57</v>
      </c>
      <c r="J34" s="110" t="s">
        <v>57</v>
      </c>
      <c r="K34" s="110" t="s">
        <v>57</v>
      </c>
      <c r="L34" s="110" t="s">
        <v>57</v>
      </c>
      <c r="M34" s="110" t="s">
        <v>57</v>
      </c>
      <c r="N34" s="110" t="s">
        <v>57</v>
      </c>
      <c r="O34" s="110" t="s">
        <v>57</v>
      </c>
      <c r="P34" s="110" t="s">
        <v>57</v>
      </c>
      <c r="Q34" s="110" t="s">
        <v>57</v>
      </c>
      <c r="R34" s="110" t="s">
        <v>57</v>
      </c>
    </row>
    <row r="35" spans="2:18" s="184" customFormat="1" x14ac:dyDescent="0.2">
      <c r="B35" s="184" t="s">
        <v>68</v>
      </c>
      <c r="C35" s="110">
        <v>123.70376462999999</v>
      </c>
      <c r="D35" s="110">
        <v>143.43700000000001</v>
      </c>
      <c r="E35" s="110">
        <v>147.57589999999999</v>
      </c>
      <c r="F35" s="110">
        <v>163.04400000000001</v>
      </c>
      <c r="G35" s="110">
        <v>54.93</v>
      </c>
      <c r="H35" s="110">
        <v>61.893999999999998</v>
      </c>
      <c r="I35" s="110">
        <v>63.9</v>
      </c>
      <c r="J35" s="110">
        <v>62.1</v>
      </c>
      <c r="K35" s="110">
        <v>55.3</v>
      </c>
      <c r="L35" s="110">
        <v>51.2</v>
      </c>
      <c r="M35" s="110">
        <v>43.847000000000001</v>
      </c>
      <c r="N35" s="110">
        <v>48.4</v>
      </c>
      <c r="O35" s="110">
        <v>11.384</v>
      </c>
      <c r="P35" s="110">
        <v>16.558</v>
      </c>
      <c r="Q35" s="110">
        <v>21.518999999999998</v>
      </c>
      <c r="R35" s="110">
        <v>22.623000000000001</v>
      </c>
    </row>
    <row r="36" spans="2:18" s="184" customFormat="1" x14ac:dyDescent="0.2">
      <c r="B36" s="184" t="s">
        <v>69</v>
      </c>
      <c r="C36" s="110">
        <v>34.252299999999998</v>
      </c>
      <c r="D36" s="110">
        <v>35.832000000000001</v>
      </c>
      <c r="E36" s="110">
        <v>31.318200000000001</v>
      </c>
      <c r="F36" s="110">
        <v>33.207999999999998</v>
      </c>
      <c r="G36" s="110" t="s">
        <v>57</v>
      </c>
      <c r="H36" s="110">
        <v>223.96199999999999</v>
      </c>
      <c r="I36" s="110">
        <v>426</v>
      </c>
      <c r="J36" s="110">
        <v>578</v>
      </c>
      <c r="K36" s="110">
        <v>618.20000000000005</v>
      </c>
      <c r="L36" s="110">
        <v>540.9</v>
      </c>
      <c r="M36" s="110">
        <v>557.68100000000004</v>
      </c>
      <c r="N36" s="110">
        <v>574.9</v>
      </c>
      <c r="O36" s="110">
        <v>525.88</v>
      </c>
      <c r="P36" s="110">
        <v>582.20299999999997</v>
      </c>
      <c r="Q36" s="110">
        <v>688.05700000000002</v>
      </c>
      <c r="R36" s="110">
        <v>759.37199999999996</v>
      </c>
    </row>
    <row r="37" spans="2:18" s="184" customFormat="1" x14ac:dyDescent="0.2">
      <c r="B37" s="184" t="s">
        <v>70</v>
      </c>
      <c r="C37" s="199" t="s">
        <v>57</v>
      </c>
      <c r="D37" s="199" t="s">
        <v>57</v>
      </c>
      <c r="E37" s="199" t="s">
        <v>57</v>
      </c>
      <c r="F37" s="199" t="s">
        <v>57</v>
      </c>
      <c r="G37" s="199" t="s">
        <v>57</v>
      </c>
      <c r="H37" s="199" t="s">
        <v>57</v>
      </c>
      <c r="I37" s="199" t="s">
        <v>57</v>
      </c>
      <c r="J37" s="199" t="s">
        <v>57</v>
      </c>
      <c r="K37" s="110">
        <v>7.1</v>
      </c>
      <c r="L37" s="110">
        <v>7.7</v>
      </c>
      <c r="M37" s="110">
        <v>9.8070000000000004</v>
      </c>
      <c r="N37" s="110">
        <v>12.3</v>
      </c>
      <c r="O37" s="110">
        <v>11.337</v>
      </c>
      <c r="P37" s="110">
        <v>14.106999999999999</v>
      </c>
      <c r="Q37" s="110">
        <v>11.773</v>
      </c>
      <c r="R37" s="110">
        <v>11.557</v>
      </c>
    </row>
    <row r="38" spans="2:18" s="184" customFormat="1" x14ac:dyDescent="0.2">
      <c r="B38" s="189" t="s">
        <v>71</v>
      </c>
      <c r="C38" s="199" t="s">
        <v>57</v>
      </c>
      <c r="D38" s="199" t="s">
        <v>57</v>
      </c>
      <c r="E38" s="199" t="s">
        <v>57</v>
      </c>
      <c r="F38" s="199" t="s">
        <v>57</v>
      </c>
      <c r="G38" s="199" t="s">
        <v>57</v>
      </c>
      <c r="H38" s="199" t="s">
        <v>57</v>
      </c>
      <c r="I38" s="199" t="s">
        <v>57</v>
      </c>
      <c r="J38" s="199" t="s">
        <v>57</v>
      </c>
      <c r="K38" s="199" t="s">
        <v>57</v>
      </c>
      <c r="L38" s="110">
        <v>0.2</v>
      </c>
      <c r="M38" s="110">
        <v>0.20100000000000001</v>
      </c>
      <c r="N38" s="110">
        <v>0.2</v>
      </c>
      <c r="O38" s="110">
        <v>0.28999999999999998</v>
      </c>
      <c r="P38" s="110">
        <v>0.69799999999999995</v>
      </c>
      <c r="Q38" s="110">
        <v>0.81</v>
      </c>
      <c r="R38" s="110">
        <v>1.8129999999999999</v>
      </c>
    </row>
    <row r="39" spans="2:18" s="184" customFormat="1" x14ac:dyDescent="0.2">
      <c r="B39" s="184" t="s">
        <v>72</v>
      </c>
      <c r="C39" s="110">
        <v>35.478700000000003</v>
      </c>
      <c r="D39" s="110">
        <v>38.167999999999999</v>
      </c>
      <c r="E39" s="110">
        <v>37.167299999999997</v>
      </c>
      <c r="F39" s="110">
        <v>48.625</v>
      </c>
      <c r="G39" s="110">
        <v>32.97</v>
      </c>
      <c r="H39" s="110">
        <v>68.965000000000003</v>
      </c>
      <c r="I39" s="110">
        <v>92.2</v>
      </c>
      <c r="J39" s="110">
        <v>94.9</v>
      </c>
      <c r="K39" s="110">
        <v>104.3</v>
      </c>
      <c r="L39" s="110">
        <v>79.8</v>
      </c>
      <c r="M39" s="110">
        <v>80.387</v>
      </c>
      <c r="N39" s="110">
        <v>65.900000000000006</v>
      </c>
      <c r="O39" s="110">
        <v>53.542000000000002</v>
      </c>
      <c r="P39" s="110">
        <v>47.890999999999998</v>
      </c>
      <c r="Q39" s="110">
        <v>53.247999999999998</v>
      </c>
      <c r="R39" s="110">
        <v>79.739000000000004</v>
      </c>
    </row>
    <row r="40" spans="2:18" s="184" customFormat="1" x14ac:dyDescent="0.2">
      <c r="B40" s="184" t="s">
        <v>73</v>
      </c>
      <c r="C40" s="110">
        <v>1.238</v>
      </c>
      <c r="D40" s="199" t="s">
        <v>57</v>
      </c>
      <c r="E40" s="199" t="s">
        <v>57</v>
      </c>
      <c r="F40" s="199" t="s">
        <v>57</v>
      </c>
      <c r="G40" s="199" t="s">
        <v>57</v>
      </c>
      <c r="H40" s="199" t="s">
        <v>57</v>
      </c>
      <c r="I40" s="199" t="s">
        <v>57</v>
      </c>
      <c r="J40" s="199" t="s">
        <v>57</v>
      </c>
      <c r="K40" s="199" t="s">
        <v>57</v>
      </c>
      <c r="L40" s="199" t="s">
        <v>57</v>
      </c>
      <c r="M40" s="110">
        <v>0.16</v>
      </c>
      <c r="N40" s="199" t="s">
        <v>57</v>
      </c>
      <c r="O40" s="110">
        <v>0.442</v>
      </c>
      <c r="P40" s="110">
        <v>0.114</v>
      </c>
      <c r="Q40" s="110">
        <v>0.34100000000000003</v>
      </c>
      <c r="R40" s="110">
        <v>3.2810000000000001</v>
      </c>
    </row>
    <row r="41" spans="2:18" s="184" customFormat="1" x14ac:dyDescent="0.2">
      <c r="B41" s="184" t="s">
        <v>74</v>
      </c>
      <c r="C41" s="110">
        <v>7.7472000000000003</v>
      </c>
      <c r="D41" s="110">
        <v>9.0990000000000002</v>
      </c>
      <c r="E41" s="110">
        <v>7.343</v>
      </c>
      <c r="F41" s="110">
        <v>8.0020000000000007</v>
      </c>
      <c r="G41" s="110">
        <v>13.571</v>
      </c>
      <c r="H41" s="110">
        <v>11.194000000000001</v>
      </c>
      <c r="I41" s="110">
        <v>36.4</v>
      </c>
      <c r="J41" s="110">
        <v>3.2</v>
      </c>
      <c r="K41" s="110">
        <v>3.1</v>
      </c>
      <c r="L41" s="110">
        <v>2.7</v>
      </c>
      <c r="M41" s="110">
        <v>5.234</v>
      </c>
      <c r="N41" s="110">
        <v>3.1</v>
      </c>
      <c r="O41" s="110">
        <v>2.4359999999999999</v>
      </c>
      <c r="P41" s="110">
        <v>14.919</v>
      </c>
      <c r="Q41" s="110">
        <v>11.061999999999999</v>
      </c>
      <c r="R41" s="110">
        <v>11.108000000000001</v>
      </c>
    </row>
    <row r="42" spans="2:18" s="188" customFormat="1" ht="15" customHeight="1" x14ac:dyDescent="0.2">
      <c r="B42" s="114" t="s">
        <v>75</v>
      </c>
      <c r="C42" s="425">
        <f>SUM(C33:C41)</f>
        <v>331.15519051000012</v>
      </c>
      <c r="D42" s="425">
        <f>SUM(D33:D41)</f>
        <v>376.54</v>
      </c>
      <c r="E42" s="111">
        <v>375.88550000000004</v>
      </c>
      <c r="F42" s="111">
        <v>438.10500000000002</v>
      </c>
      <c r="G42" s="111">
        <v>303.04700000000003</v>
      </c>
      <c r="H42" s="111">
        <f>SUM(H33:H41)</f>
        <v>550.07499999999993</v>
      </c>
      <c r="I42" s="111">
        <v>811.9</v>
      </c>
      <c r="J42" s="111">
        <v>933.9</v>
      </c>
      <c r="K42" s="111">
        <v>990.8</v>
      </c>
      <c r="L42" s="111">
        <v>877.5</v>
      </c>
      <c r="M42" s="111">
        <v>897.6690000000001</v>
      </c>
      <c r="N42" s="111">
        <v>915.5</v>
      </c>
      <c r="O42" s="111">
        <v>808.19900000000007</v>
      </c>
      <c r="P42" s="111">
        <v>889.48599999999988</v>
      </c>
      <c r="Q42" s="111">
        <v>1013.476</v>
      </c>
      <c r="R42" s="111">
        <v>1104.5179999999998</v>
      </c>
    </row>
    <row r="43" spans="2:18" s="188" customFormat="1" ht="15" customHeight="1" x14ac:dyDescent="0.2">
      <c r="B43" s="116"/>
      <c r="C43" s="116"/>
      <c r="D43" s="116"/>
      <c r="E43" s="143"/>
      <c r="F43" s="143"/>
      <c r="G43" s="143"/>
      <c r="H43" s="143"/>
      <c r="I43" s="143"/>
      <c r="J43" s="143"/>
      <c r="K43" s="143"/>
      <c r="L43" s="143"/>
      <c r="M43" s="143"/>
      <c r="N43" s="143"/>
      <c r="O43" s="143"/>
      <c r="P43" s="143"/>
      <c r="Q43" s="143"/>
      <c r="R43" s="143"/>
    </row>
    <row r="44" spans="2:18" s="188" customFormat="1" ht="15" customHeight="1" x14ac:dyDescent="0.2">
      <c r="B44" s="114" t="s">
        <v>186</v>
      </c>
      <c r="C44" s="111">
        <v>10.1199094899999</v>
      </c>
      <c r="D44" s="111">
        <v>2.3199999999999998</v>
      </c>
      <c r="E44" s="111">
        <v>11.45</v>
      </c>
      <c r="F44" s="111">
        <v>5.5309999999999997</v>
      </c>
      <c r="G44" s="111">
        <v>62.101999999999997</v>
      </c>
      <c r="H44" s="111">
        <v>0</v>
      </c>
      <c r="I44" s="111">
        <v>1.4</v>
      </c>
      <c r="J44" s="111">
        <v>9.6999999999999993</v>
      </c>
      <c r="K44" s="111">
        <v>1.6</v>
      </c>
      <c r="L44" s="111">
        <v>0</v>
      </c>
      <c r="M44" s="111">
        <v>0</v>
      </c>
      <c r="N44" s="111">
        <v>0</v>
      </c>
      <c r="O44" s="111">
        <v>0</v>
      </c>
      <c r="P44" s="111">
        <v>0</v>
      </c>
      <c r="Q44" s="111">
        <v>0</v>
      </c>
      <c r="R44" s="111">
        <v>0</v>
      </c>
    </row>
    <row r="45" spans="2:18" s="184" customFormat="1" x14ac:dyDescent="0.2">
      <c r="D45" s="143"/>
      <c r="E45" s="143"/>
      <c r="F45" s="143"/>
      <c r="G45" s="143"/>
      <c r="H45" s="143"/>
      <c r="I45" s="143"/>
      <c r="J45" s="143"/>
      <c r="K45" s="143"/>
      <c r="L45" s="143"/>
      <c r="M45" s="143"/>
      <c r="N45" s="143"/>
      <c r="O45" s="143"/>
      <c r="P45" s="143"/>
      <c r="Q45" s="143"/>
      <c r="R45" s="143"/>
    </row>
    <row r="46" spans="2:18" s="188" customFormat="1" ht="15" customHeight="1" x14ac:dyDescent="0.2">
      <c r="B46" s="114" t="s">
        <v>76</v>
      </c>
      <c r="C46" s="111">
        <v>912.9</v>
      </c>
      <c r="D46" s="111">
        <v>999.63099999999997</v>
      </c>
      <c r="E46" s="111">
        <v>939.02620000000002</v>
      </c>
      <c r="F46" s="111">
        <v>986.52099999999996</v>
      </c>
      <c r="G46" s="111">
        <v>925.31100000000004</v>
      </c>
      <c r="H46" s="111">
        <f>SUM(H30,H42,H44)</f>
        <v>1189.5079999999998</v>
      </c>
      <c r="I46" s="111">
        <v>1468.8</v>
      </c>
      <c r="J46" s="111">
        <v>1608.2</v>
      </c>
      <c r="K46" s="111">
        <f>+K44+K30+K42</f>
        <v>1655.4</v>
      </c>
      <c r="L46" s="111">
        <f>+L44+L30+L42</f>
        <v>1534.8</v>
      </c>
      <c r="M46" s="111">
        <v>1483.951</v>
      </c>
      <c r="N46" s="111">
        <v>1552.1999999999998</v>
      </c>
      <c r="O46" s="111">
        <v>1441.3609999999999</v>
      </c>
      <c r="P46" s="111">
        <v>1564.4009999999998</v>
      </c>
      <c r="Q46" s="111">
        <v>1650.3430000000001</v>
      </c>
      <c r="R46" s="111">
        <v>1780.4129999999998</v>
      </c>
    </row>
    <row r="47" spans="2:18" s="184" customFormat="1" x14ac:dyDescent="0.2">
      <c r="E47" s="143"/>
      <c r="F47" s="143"/>
      <c r="G47" s="143"/>
      <c r="H47" s="143"/>
      <c r="I47" s="143"/>
      <c r="J47" s="143"/>
      <c r="K47" s="143"/>
      <c r="L47" s="143"/>
      <c r="M47" s="143"/>
      <c r="N47" s="143"/>
      <c r="O47" s="143"/>
      <c r="P47" s="143"/>
      <c r="Q47" s="143"/>
      <c r="R47" s="143"/>
    </row>
    <row r="48" spans="2:18" s="184" customFormat="1" x14ac:dyDescent="0.2">
      <c r="E48" s="143"/>
      <c r="F48" s="143"/>
      <c r="G48" s="143"/>
      <c r="H48" s="143"/>
      <c r="I48" s="143"/>
      <c r="J48" s="143"/>
      <c r="K48" s="143"/>
      <c r="L48" s="143"/>
      <c r="M48" s="143"/>
      <c r="N48" s="143"/>
      <c r="O48" s="143"/>
      <c r="P48" s="143"/>
      <c r="Q48" s="143"/>
      <c r="R48" s="143"/>
    </row>
    <row r="49" spans="2:18" s="184" customFormat="1" x14ac:dyDescent="0.2">
      <c r="B49" s="113" t="s">
        <v>77</v>
      </c>
      <c r="C49" s="113"/>
      <c r="D49" s="113"/>
      <c r="E49" s="142"/>
      <c r="F49" s="142"/>
      <c r="G49" s="142"/>
      <c r="H49" s="142"/>
      <c r="I49" s="142"/>
      <c r="J49" s="142"/>
      <c r="K49" s="142"/>
      <c r="L49" s="142"/>
      <c r="M49" s="142"/>
      <c r="N49" s="142"/>
      <c r="O49" s="142"/>
      <c r="P49" s="142"/>
      <c r="Q49" s="142"/>
      <c r="R49" s="142"/>
    </row>
    <row r="50" spans="2:18" s="184" customFormat="1" x14ac:dyDescent="0.2">
      <c r="E50" s="143"/>
      <c r="F50" s="143"/>
      <c r="G50" s="143"/>
      <c r="H50" s="143"/>
      <c r="I50" s="143"/>
      <c r="J50" s="143"/>
      <c r="K50" s="143"/>
      <c r="L50" s="143"/>
      <c r="M50" s="143"/>
      <c r="N50" s="143"/>
      <c r="O50" s="143"/>
      <c r="P50" s="143"/>
      <c r="Q50" s="143"/>
      <c r="R50" s="143"/>
    </row>
    <row r="51" spans="2:18" s="184" customFormat="1" x14ac:dyDescent="0.2">
      <c r="B51" s="187" t="s">
        <v>78</v>
      </c>
      <c r="C51" s="187"/>
      <c r="D51" s="187"/>
      <c r="E51" s="144"/>
      <c r="F51" s="144"/>
      <c r="G51" s="144"/>
      <c r="H51" s="144"/>
      <c r="I51" s="144"/>
      <c r="J51" s="144"/>
      <c r="K51" s="144"/>
      <c r="L51" s="144"/>
      <c r="M51" s="144"/>
      <c r="N51" s="144"/>
      <c r="O51" s="144"/>
      <c r="P51" s="144"/>
      <c r="Q51" s="144"/>
      <c r="R51" s="144"/>
    </row>
    <row r="52" spans="2:18" s="184" customFormat="1" x14ac:dyDescent="0.2">
      <c r="B52" s="184" t="s">
        <v>79</v>
      </c>
      <c r="C52" s="110">
        <v>30</v>
      </c>
      <c r="D52" s="110">
        <v>34.548999999999999</v>
      </c>
      <c r="E52" s="110">
        <v>20</v>
      </c>
      <c r="F52" s="110">
        <v>249.589</v>
      </c>
      <c r="G52" s="110">
        <v>29.238</v>
      </c>
      <c r="H52" s="110">
        <v>284.07499999999999</v>
      </c>
      <c r="I52" s="110">
        <v>51</v>
      </c>
      <c r="J52" s="110">
        <v>39.9</v>
      </c>
      <c r="K52" s="110">
        <v>60</v>
      </c>
      <c r="L52" s="110">
        <v>129.9</v>
      </c>
      <c r="M52" s="110">
        <v>80.227000000000004</v>
      </c>
      <c r="N52" s="110">
        <v>182.4</v>
      </c>
      <c r="O52" s="110">
        <v>123.09</v>
      </c>
      <c r="P52" s="110">
        <v>64.043000000000006</v>
      </c>
      <c r="Q52" s="110">
        <v>167.62</v>
      </c>
      <c r="R52" s="110">
        <v>157.53</v>
      </c>
    </row>
    <row r="53" spans="2:18" s="184" customFormat="1" x14ac:dyDescent="0.2">
      <c r="B53" t="s">
        <v>105</v>
      </c>
      <c r="C53" s="110">
        <v>9.6</v>
      </c>
      <c r="D53" s="110">
        <v>8.41</v>
      </c>
      <c r="E53" s="110">
        <v>8.8577999999999992</v>
      </c>
      <c r="F53" s="110">
        <v>10.430999999999999</v>
      </c>
      <c r="G53" s="110" t="s">
        <v>57</v>
      </c>
      <c r="H53" s="110" t="s">
        <v>57</v>
      </c>
      <c r="I53" s="110" t="s">
        <v>57</v>
      </c>
      <c r="J53" s="110" t="s">
        <v>57</v>
      </c>
      <c r="K53" s="110" t="s">
        <v>57</v>
      </c>
      <c r="L53" s="110" t="s">
        <v>57</v>
      </c>
      <c r="M53" s="110" t="s">
        <v>57</v>
      </c>
      <c r="N53" s="110" t="s">
        <v>57</v>
      </c>
      <c r="O53" s="110" t="s">
        <v>57</v>
      </c>
      <c r="P53" s="110" t="s">
        <v>57</v>
      </c>
      <c r="Q53" s="110" t="s">
        <v>57</v>
      </c>
      <c r="R53" s="110" t="s">
        <v>57</v>
      </c>
    </row>
    <row r="54" spans="2:18" s="184" customFormat="1" x14ac:dyDescent="0.2">
      <c r="B54" s="184" t="s">
        <v>80</v>
      </c>
      <c r="C54" s="110">
        <v>161.9</v>
      </c>
      <c r="D54" s="110">
        <v>201.971</v>
      </c>
      <c r="E54" s="110">
        <v>215.14279999999999</v>
      </c>
      <c r="F54" s="110">
        <v>182.07300000000001</v>
      </c>
      <c r="G54" s="110">
        <v>177.74600000000001</v>
      </c>
      <c r="H54" s="110">
        <v>179.31899999999999</v>
      </c>
      <c r="I54" s="110">
        <v>223.5</v>
      </c>
      <c r="J54" s="110">
        <v>230.2</v>
      </c>
      <c r="K54" s="110">
        <v>219.4</v>
      </c>
      <c r="L54" s="110">
        <v>216.2</v>
      </c>
      <c r="M54" s="110">
        <v>183.393</v>
      </c>
      <c r="N54" s="110">
        <v>216.8</v>
      </c>
      <c r="O54" s="110">
        <v>187.917</v>
      </c>
      <c r="P54" s="110">
        <v>196.96</v>
      </c>
      <c r="Q54" s="110">
        <v>157.86600000000001</v>
      </c>
      <c r="R54" s="110">
        <v>197.661</v>
      </c>
    </row>
    <row r="55" spans="2:18" s="184" customFormat="1" x14ac:dyDescent="0.2">
      <c r="B55" s="184" t="s">
        <v>81</v>
      </c>
      <c r="C55" s="110">
        <v>28.013400000000001</v>
      </c>
      <c r="D55" s="110">
        <v>28.844999999999999</v>
      </c>
      <c r="E55" s="110">
        <v>18.709900000000001</v>
      </c>
      <c r="F55" s="110">
        <v>24.617999999999999</v>
      </c>
      <c r="G55" s="110">
        <v>15.566000000000001</v>
      </c>
      <c r="H55" s="110">
        <v>19.809000000000001</v>
      </c>
      <c r="I55" s="110">
        <v>30.9</v>
      </c>
      <c r="J55" s="110">
        <v>26.3</v>
      </c>
      <c r="K55" s="110">
        <v>30.9</v>
      </c>
      <c r="L55" s="110">
        <v>34.1</v>
      </c>
      <c r="M55" s="110">
        <v>17.317</v>
      </c>
      <c r="N55" s="110">
        <v>18.600000000000001</v>
      </c>
      <c r="O55" s="110">
        <v>18.664999999999999</v>
      </c>
      <c r="P55" s="110">
        <v>29.385999999999999</v>
      </c>
      <c r="Q55" s="110">
        <v>22.213999999999999</v>
      </c>
      <c r="R55" s="110">
        <v>21.931000000000001</v>
      </c>
    </row>
    <row r="56" spans="2:18" s="184" customFormat="1" x14ac:dyDescent="0.2">
      <c r="B56" s="184" t="s">
        <v>82</v>
      </c>
      <c r="C56" s="110">
        <v>1.3998999999999999</v>
      </c>
      <c r="D56" s="110">
        <v>5.8999999999999997E-2</v>
      </c>
      <c r="E56" s="110">
        <v>0.1086</v>
      </c>
      <c r="F56" s="110">
        <v>1.3029999999999999</v>
      </c>
      <c r="G56" s="110">
        <v>1.0389999999999999</v>
      </c>
      <c r="H56" s="110">
        <v>2.4E-2</v>
      </c>
      <c r="I56" s="110">
        <v>10.7</v>
      </c>
      <c r="J56" s="110">
        <v>0.9</v>
      </c>
      <c r="K56" s="110">
        <v>0.4</v>
      </c>
      <c r="L56" s="110">
        <v>1.1000000000000001</v>
      </c>
      <c r="M56" s="110">
        <v>0.68200000000000005</v>
      </c>
      <c r="N56" s="110">
        <v>0.5</v>
      </c>
      <c r="O56" s="110">
        <v>1.2509999999999999</v>
      </c>
      <c r="P56" s="110">
        <v>3.7269999999999999</v>
      </c>
      <c r="Q56" s="110">
        <v>0.28100000000000003</v>
      </c>
      <c r="R56" s="110">
        <v>3.2000000000000001E-2</v>
      </c>
    </row>
    <row r="57" spans="2:18" s="184" customFormat="1" x14ac:dyDescent="0.2">
      <c r="B57" s="184" t="s">
        <v>316</v>
      </c>
      <c r="C57" s="110">
        <v>5.9185999999999996</v>
      </c>
      <c r="D57" s="110"/>
      <c r="E57" s="110"/>
      <c r="F57" s="110"/>
      <c r="G57" s="110"/>
      <c r="H57" s="110"/>
      <c r="I57" s="110"/>
      <c r="J57" s="110"/>
      <c r="K57" s="110"/>
      <c r="L57" s="110"/>
      <c r="M57" s="110"/>
      <c r="N57" s="110"/>
      <c r="O57" s="110"/>
      <c r="P57" s="110"/>
      <c r="Q57" s="110"/>
      <c r="R57" s="110"/>
    </row>
    <row r="58" spans="2:18" s="184" customFormat="1" x14ac:dyDescent="0.2">
      <c r="B58" s="184" t="s">
        <v>83</v>
      </c>
      <c r="C58" s="110">
        <v>44.605699999999999</v>
      </c>
      <c r="D58" s="110">
        <v>55.524000000000001</v>
      </c>
      <c r="E58" s="110">
        <v>57.725299999999997</v>
      </c>
      <c r="F58" s="110">
        <v>66.373000000000005</v>
      </c>
      <c r="G58" s="110">
        <v>63.732999999999997</v>
      </c>
      <c r="H58" s="110">
        <v>83.006</v>
      </c>
      <c r="I58" s="110">
        <v>79.2</v>
      </c>
      <c r="J58" s="110">
        <v>55.1</v>
      </c>
      <c r="K58" s="110">
        <v>51.3</v>
      </c>
      <c r="L58" s="110">
        <v>50.4</v>
      </c>
      <c r="M58" s="110">
        <v>46.45</v>
      </c>
      <c r="N58" s="110">
        <v>65.2</v>
      </c>
      <c r="O58" s="110">
        <v>67.433000000000007</v>
      </c>
      <c r="P58" s="110">
        <v>69.858999999999995</v>
      </c>
      <c r="Q58" s="110">
        <v>68.521000000000001</v>
      </c>
      <c r="R58" s="110">
        <v>72.212999999999994</v>
      </c>
    </row>
    <row r="59" spans="2:18" s="184" customFormat="1" x14ac:dyDescent="0.2">
      <c r="B59" s="184" t="s">
        <v>84</v>
      </c>
      <c r="C59" s="110">
        <v>13.66527</v>
      </c>
      <c r="D59" s="110">
        <v>8.0869999999999997</v>
      </c>
      <c r="E59" s="110">
        <v>19.652080000000002</v>
      </c>
      <c r="F59" s="110">
        <v>26.998000000000001</v>
      </c>
      <c r="G59" s="110">
        <v>25.75</v>
      </c>
      <c r="H59" s="110">
        <v>29.713000000000001</v>
      </c>
      <c r="I59" s="110">
        <v>25.2</v>
      </c>
      <c r="J59" s="110">
        <v>26.1</v>
      </c>
      <c r="K59" s="110">
        <v>6.6</v>
      </c>
      <c r="L59" s="110">
        <v>3.2</v>
      </c>
      <c r="M59" s="110">
        <v>8.8279999999999994</v>
      </c>
      <c r="N59" s="110">
        <v>5.6</v>
      </c>
      <c r="O59" s="110">
        <v>9.4849999999999994</v>
      </c>
      <c r="P59" s="110">
        <v>2.6150000000000002</v>
      </c>
      <c r="Q59" s="110">
        <v>1.296</v>
      </c>
      <c r="R59" s="110">
        <v>0.86399999999999999</v>
      </c>
    </row>
    <row r="60" spans="2:18" s="188" customFormat="1" ht="15" customHeight="1" x14ac:dyDescent="0.2">
      <c r="B60" s="114" t="s">
        <v>85</v>
      </c>
      <c r="C60" s="61">
        <f>SUM(C52:C59)</f>
        <v>295.10287</v>
      </c>
      <c r="D60" s="111">
        <v>337.44600000000003</v>
      </c>
      <c r="E60" s="111">
        <v>340.19648000000001</v>
      </c>
      <c r="F60" s="111">
        <v>561.38400000000001</v>
      </c>
      <c r="G60" s="111">
        <v>313.072</v>
      </c>
      <c r="H60" s="111">
        <f>SUM(H52:H59)</f>
        <v>595.94600000000003</v>
      </c>
      <c r="I60" s="111">
        <v>420.5</v>
      </c>
      <c r="J60" s="111">
        <v>378.5</v>
      </c>
      <c r="K60" s="111">
        <v>368.6</v>
      </c>
      <c r="L60" s="111">
        <v>434.9</v>
      </c>
      <c r="M60" s="111">
        <v>336.89699999999999</v>
      </c>
      <c r="N60" s="111">
        <v>489.10000000000008</v>
      </c>
      <c r="O60" s="111">
        <v>407.84100000000001</v>
      </c>
      <c r="P60" s="111">
        <v>366.59000000000003</v>
      </c>
      <c r="Q60" s="111">
        <v>417.798</v>
      </c>
      <c r="R60" s="111">
        <v>450.23099999999994</v>
      </c>
    </row>
    <row r="61" spans="2:18" s="184" customFormat="1" x14ac:dyDescent="0.2">
      <c r="E61" s="143"/>
      <c r="F61" s="143"/>
      <c r="G61" s="143"/>
      <c r="H61" s="143"/>
      <c r="I61" s="143"/>
      <c r="J61" s="143"/>
      <c r="K61" s="143"/>
      <c r="L61" s="143"/>
      <c r="M61" s="143"/>
      <c r="N61" s="143"/>
      <c r="O61" s="143"/>
      <c r="P61" s="143"/>
      <c r="Q61" s="143"/>
      <c r="R61" s="143"/>
    </row>
    <row r="62" spans="2:18" s="184" customFormat="1" x14ac:dyDescent="0.2">
      <c r="B62" s="187" t="s">
        <v>86</v>
      </c>
      <c r="C62" s="187"/>
      <c r="D62" s="187"/>
      <c r="E62" s="144"/>
      <c r="F62" s="144"/>
      <c r="G62" s="144"/>
      <c r="H62" s="144"/>
      <c r="I62" s="144"/>
      <c r="J62" s="144"/>
      <c r="K62" s="144"/>
      <c r="L62" s="144"/>
      <c r="M62" s="144"/>
      <c r="N62" s="144"/>
      <c r="O62" s="144"/>
      <c r="P62" s="144"/>
      <c r="Q62" s="144"/>
      <c r="R62" s="144"/>
    </row>
    <row r="63" spans="2:18" s="184" customFormat="1" x14ac:dyDescent="0.2">
      <c r="B63" s="184" t="s">
        <v>87</v>
      </c>
      <c r="C63" s="110">
        <v>103</v>
      </c>
      <c r="D63" s="110">
        <v>107.611</v>
      </c>
      <c r="E63" s="110">
        <v>237.9145</v>
      </c>
      <c r="F63" s="110" t="s">
        <v>57</v>
      </c>
      <c r="G63" s="110">
        <v>113.711</v>
      </c>
      <c r="H63" s="110">
        <v>0</v>
      </c>
      <c r="I63" s="110">
        <v>139.9</v>
      </c>
      <c r="J63" s="110">
        <v>134.9</v>
      </c>
      <c r="K63" s="110">
        <v>130.19999999999999</v>
      </c>
      <c r="L63" s="110">
        <v>126.9</v>
      </c>
      <c r="M63" s="110">
        <v>190.792</v>
      </c>
      <c r="N63" s="110">
        <v>104.9</v>
      </c>
      <c r="O63" s="110">
        <v>216.45599999999999</v>
      </c>
      <c r="P63" s="110">
        <v>311.01799999999997</v>
      </c>
      <c r="Q63" s="110">
        <v>472.41500000000002</v>
      </c>
      <c r="R63" s="110">
        <v>441.65899999999999</v>
      </c>
    </row>
    <row r="64" spans="2:18" s="184" customFormat="1" x14ac:dyDescent="0.2">
      <c r="B64" t="s">
        <v>105</v>
      </c>
      <c r="C64" s="110">
        <v>31.7</v>
      </c>
      <c r="D64" s="110">
        <v>33.671999999999997</v>
      </c>
      <c r="E64" s="110">
        <v>31.320699999999999</v>
      </c>
      <c r="F64" s="110">
        <v>39.389000000000003</v>
      </c>
      <c r="G64" s="110" t="s">
        <v>57</v>
      </c>
      <c r="H64" s="110" t="s">
        <v>57</v>
      </c>
      <c r="I64" s="110" t="s">
        <v>57</v>
      </c>
      <c r="J64" s="110" t="s">
        <v>57</v>
      </c>
      <c r="K64" s="110" t="s">
        <v>57</v>
      </c>
      <c r="L64" s="110" t="s">
        <v>57</v>
      </c>
      <c r="M64" s="110" t="s">
        <v>57</v>
      </c>
      <c r="N64" s="110" t="s">
        <v>57</v>
      </c>
      <c r="O64" s="110" t="s">
        <v>57</v>
      </c>
      <c r="P64" s="110" t="s">
        <v>57</v>
      </c>
      <c r="Q64" s="110" t="s">
        <v>57</v>
      </c>
      <c r="R64" s="110" t="s">
        <v>57</v>
      </c>
    </row>
    <row r="65" spans="2:20" s="184" customFormat="1" x14ac:dyDescent="0.2">
      <c r="B65" s="184" t="s">
        <v>88</v>
      </c>
      <c r="C65" s="110">
        <v>9.1999999999999993</v>
      </c>
      <c r="D65" s="110">
        <v>18.001000000000001</v>
      </c>
      <c r="E65" s="110">
        <v>20.059899999999999</v>
      </c>
      <c r="F65" s="110">
        <v>26.797999999999998</v>
      </c>
      <c r="G65" s="110">
        <v>25.126000000000001</v>
      </c>
      <c r="H65" s="110">
        <v>27.704999999999998</v>
      </c>
      <c r="I65" s="110">
        <v>29.7</v>
      </c>
      <c r="J65" s="110">
        <v>33.200000000000003</v>
      </c>
      <c r="K65" s="110">
        <v>32.5</v>
      </c>
      <c r="L65" s="110">
        <v>30.1</v>
      </c>
      <c r="M65" s="110">
        <v>36.29</v>
      </c>
      <c r="N65" s="110">
        <v>35.1</v>
      </c>
      <c r="O65" s="110">
        <v>33.067</v>
      </c>
      <c r="P65" s="110">
        <v>43.384999999999998</v>
      </c>
      <c r="Q65" s="110">
        <v>43.771000000000001</v>
      </c>
      <c r="R65" s="110">
        <v>39.475000000000001</v>
      </c>
    </row>
    <row r="66" spans="2:20" s="184" customFormat="1" x14ac:dyDescent="0.2">
      <c r="B66" s="184" t="s">
        <v>89</v>
      </c>
      <c r="C66" s="110">
        <v>13.646559999999999</v>
      </c>
      <c r="D66" s="110">
        <v>14.521000000000001</v>
      </c>
      <c r="E66" s="110">
        <v>15.931290000000001</v>
      </c>
      <c r="F66" s="110">
        <v>36.598999999999997</v>
      </c>
      <c r="G66" s="110">
        <v>13.958</v>
      </c>
      <c r="H66" s="110">
        <v>16.693000000000001</v>
      </c>
      <c r="I66" s="110">
        <v>14.3</v>
      </c>
      <c r="J66" s="110">
        <v>17.600000000000001</v>
      </c>
      <c r="K66" s="110">
        <v>14.7</v>
      </c>
      <c r="L66" s="110">
        <v>14.6</v>
      </c>
      <c r="M66" s="110">
        <v>23.518000000000001</v>
      </c>
      <c r="N66" s="110">
        <v>18.3</v>
      </c>
      <c r="O66" s="110">
        <v>18.893999999999998</v>
      </c>
      <c r="P66" s="110">
        <v>20.795999999999999</v>
      </c>
      <c r="Q66" s="110">
        <v>20.23</v>
      </c>
      <c r="R66" s="110">
        <v>12.855</v>
      </c>
    </row>
    <row r="67" spans="2:20" s="184" customFormat="1" x14ac:dyDescent="0.2">
      <c r="B67" s="184" t="s">
        <v>90</v>
      </c>
      <c r="C67" s="110">
        <v>11.4772</v>
      </c>
      <c r="D67" s="110">
        <v>13.031000000000001</v>
      </c>
      <c r="E67" s="110">
        <v>12.709099999999999</v>
      </c>
      <c r="F67" s="110">
        <v>11.836</v>
      </c>
      <c r="G67" s="110">
        <v>10.180999999999999</v>
      </c>
      <c r="H67" s="110">
        <v>13.601000000000001</v>
      </c>
      <c r="I67" s="110">
        <v>12</v>
      </c>
      <c r="J67" s="110">
        <v>10.4</v>
      </c>
      <c r="K67" s="110">
        <v>9.6999999999999993</v>
      </c>
      <c r="L67" s="110">
        <v>8.3000000000000007</v>
      </c>
      <c r="M67" s="110">
        <v>8.7650000000000006</v>
      </c>
      <c r="N67" s="110">
        <v>5.6</v>
      </c>
      <c r="O67" s="110">
        <v>5.1859999999999999</v>
      </c>
      <c r="P67" s="110">
        <v>4.2430000000000003</v>
      </c>
      <c r="Q67" s="110">
        <v>5.0890000000000004</v>
      </c>
      <c r="R67" s="110">
        <v>14.961</v>
      </c>
    </row>
    <row r="68" spans="2:20" s="184" customFormat="1" x14ac:dyDescent="0.2">
      <c r="B68" s="184" t="s">
        <v>82</v>
      </c>
      <c r="C68" s="110" t="s">
        <v>57</v>
      </c>
      <c r="D68" s="110" t="s">
        <v>57</v>
      </c>
      <c r="E68" s="110" t="s">
        <v>57</v>
      </c>
      <c r="F68" s="110" t="s">
        <v>57</v>
      </c>
      <c r="G68" s="110" t="s">
        <v>57</v>
      </c>
      <c r="H68" s="110" t="s">
        <v>57</v>
      </c>
      <c r="I68" s="110" t="s">
        <v>57</v>
      </c>
      <c r="J68" s="110">
        <v>0.3</v>
      </c>
      <c r="K68" s="110">
        <v>9.3000000000000007</v>
      </c>
      <c r="L68" s="110">
        <v>22.5</v>
      </c>
      <c r="M68" s="110">
        <v>0.61799999999999999</v>
      </c>
      <c r="N68" s="110">
        <v>1.7</v>
      </c>
      <c r="O68" s="110">
        <v>3.7999999999999999E-2</v>
      </c>
      <c r="P68" s="110">
        <v>0</v>
      </c>
      <c r="Q68" s="110">
        <v>6.7160000000000002</v>
      </c>
      <c r="R68" s="110">
        <v>6.6000000000000003E-2</v>
      </c>
    </row>
    <row r="69" spans="2:20" s="184" customFormat="1" x14ac:dyDescent="0.2">
      <c r="B69" s="184" t="s">
        <v>316</v>
      </c>
      <c r="C69" s="110">
        <v>21.805330000000001</v>
      </c>
      <c r="D69" s="110">
        <v>42.500999999999998</v>
      </c>
      <c r="E69" s="110">
        <v>77.957999999999998</v>
      </c>
      <c r="F69" s="110"/>
      <c r="G69" s="110"/>
      <c r="H69" s="110"/>
      <c r="I69" s="110"/>
      <c r="J69" s="110"/>
      <c r="K69" s="110"/>
      <c r="L69" s="110"/>
      <c r="M69" s="110"/>
      <c r="N69" s="110"/>
      <c r="O69" s="110"/>
      <c r="P69" s="110"/>
      <c r="Q69" s="110"/>
      <c r="R69" s="110"/>
    </row>
    <row r="70" spans="2:20" s="184" customFormat="1" x14ac:dyDescent="0.2">
      <c r="B70" s="184" t="s">
        <v>91</v>
      </c>
      <c r="C70" s="110">
        <v>2.8187199999999999</v>
      </c>
      <c r="D70" s="110">
        <v>1.855</v>
      </c>
      <c r="E70" s="110">
        <v>1.8740000000000001</v>
      </c>
      <c r="F70" s="110">
        <v>103.31399999999999</v>
      </c>
      <c r="G70" s="110">
        <v>0.97799999999999998</v>
      </c>
      <c r="H70" s="110">
        <v>5.8040000000000003</v>
      </c>
      <c r="I70" s="110">
        <v>44.9</v>
      </c>
      <c r="J70" s="110">
        <v>35.299999999999997</v>
      </c>
      <c r="K70" s="110">
        <v>39.299999999999997</v>
      </c>
      <c r="L70" s="110">
        <v>13.3</v>
      </c>
      <c r="M70" s="110">
        <v>5.3479999999999999</v>
      </c>
      <c r="N70" s="110">
        <v>4.5999999999999996</v>
      </c>
      <c r="O70" s="110">
        <v>4.41</v>
      </c>
      <c r="P70" s="110">
        <v>12.502000000000001</v>
      </c>
      <c r="Q70" s="110">
        <v>17.129000000000001</v>
      </c>
      <c r="R70" s="110">
        <v>17.285</v>
      </c>
    </row>
    <row r="71" spans="2:20" s="187" customFormat="1" ht="18" customHeight="1" x14ac:dyDescent="0.2">
      <c r="B71" s="114" t="s">
        <v>92</v>
      </c>
      <c r="C71" s="111">
        <f>SUM(C63:C70)</f>
        <v>193.64780999999999</v>
      </c>
      <c r="D71" s="111">
        <v>231.19200000000001</v>
      </c>
      <c r="E71" s="111">
        <v>397.76749000000007</v>
      </c>
      <c r="F71" s="111">
        <v>217.935</v>
      </c>
      <c r="G71" s="111">
        <v>163.95400000000001</v>
      </c>
      <c r="H71" s="111">
        <f>SUM(H63:H70)</f>
        <v>63.802999999999997</v>
      </c>
      <c r="I71" s="111">
        <v>240.8</v>
      </c>
      <c r="J71" s="111">
        <v>231.7</v>
      </c>
      <c r="K71" s="111">
        <v>235.7</v>
      </c>
      <c r="L71" s="111">
        <v>215.7</v>
      </c>
      <c r="M71" s="111">
        <v>265.33100000000002</v>
      </c>
      <c r="N71" s="111">
        <v>170.2</v>
      </c>
      <c r="O71" s="111">
        <v>278.05099999999999</v>
      </c>
      <c r="P71" s="111">
        <v>391.94399999999996</v>
      </c>
      <c r="Q71" s="111">
        <v>565.35000000000014</v>
      </c>
      <c r="R71" s="111">
        <v>526.30100000000004</v>
      </c>
    </row>
    <row r="72" spans="2:20" s="187" customFormat="1" x14ac:dyDescent="0.2">
      <c r="B72" s="116"/>
      <c r="C72" s="116"/>
      <c r="D72" s="116"/>
      <c r="E72" s="201"/>
      <c r="F72" s="201"/>
      <c r="G72" s="201"/>
      <c r="H72" s="201"/>
      <c r="I72" s="201"/>
      <c r="J72" s="201"/>
      <c r="K72" s="201"/>
      <c r="L72" s="201"/>
      <c r="M72" s="201"/>
      <c r="N72" s="201"/>
      <c r="O72" s="201"/>
      <c r="P72" s="201"/>
      <c r="Q72" s="201"/>
      <c r="R72" s="201"/>
    </row>
    <row r="73" spans="2:20" s="187" customFormat="1" ht="12" customHeight="1" x14ac:dyDescent="0.2">
      <c r="B73" s="114" t="s">
        <v>185</v>
      </c>
      <c r="C73" s="111">
        <v>5.2859999999999996</v>
      </c>
      <c r="D73" s="111" t="s">
        <v>57</v>
      </c>
      <c r="E73" s="111" t="s">
        <v>57</v>
      </c>
      <c r="F73" s="111" t="s">
        <v>57</v>
      </c>
      <c r="G73" s="111">
        <v>53.448</v>
      </c>
      <c r="H73" s="111" t="s">
        <v>57</v>
      </c>
      <c r="I73" s="111" t="s">
        <v>57</v>
      </c>
      <c r="J73" s="111" t="s">
        <v>57</v>
      </c>
      <c r="K73" s="111" t="s">
        <v>57</v>
      </c>
      <c r="L73" s="111" t="s">
        <v>57</v>
      </c>
      <c r="M73" s="111" t="s">
        <v>57</v>
      </c>
      <c r="N73" s="111" t="s">
        <v>57</v>
      </c>
      <c r="O73" s="111" t="s">
        <v>57</v>
      </c>
      <c r="P73" s="111" t="s">
        <v>57</v>
      </c>
      <c r="Q73" s="111" t="s">
        <v>57</v>
      </c>
      <c r="R73" s="111" t="s">
        <v>57</v>
      </c>
    </row>
    <row r="74" spans="2:20" s="184" customFormat="1" x14ac:dyDescent="0.2">
      <c r="E74" s="146"/>
      <c r="F74" s="146"/>
      <c r="G74" s="146"/>
      <c r="H74" s="146"/>
      <c r="I74" s="146"/>
      <c r="J74" s="146"/>
      <c r="K74" s="146"/>
      <c r="L74" s="146"/>
      <c r="M74" s="146"/>
      <c r="N74" s="146"/>
      <c r="O74" s="146"/>
      <c r="P74" s="146"/>
      <c r="Q74" s="146"/>
      <c r="R74" s="146"/>
    </row>
    <row r="75" spans="2:20" s="188" customFormat="1" ht="15" customHeight="1" x14ac:dyDescent="0.2">
      <c r="B75" s="114" t="s">
        <v>93</v>
      </c>
      <c r="C75" s="61">
        <f>SUM(C60+C71+C73)</f>
        <v>494.03667999999999</v>
      </c>
      <c r="D75" s="111">
        <v>568.63800000000003</v>
      </c>
      <c r="E75" s="111">
        <v>737.96397000000002</v>
      </c>
      <c r="F75" s="111">
        <v>779.31899999999996</v>
      </c>
      <c r="G75" s="111">
        <v>530.47299999999996</v>
      </c>
      <c r="H75" s="111">
        <f>SUM(H60+H71)</f>
        <v>659.74900000000002</v>
      </c>
      <c r="I75" s="111">
        <v>661.2</v>
      </c>
      <c r="J75" s="111">
        <v>610.20000000000005</v>
      </c>
      <c r="K75" s="111">
        <v>604.29999999999995</v>
      </c>
      <c r="L75" s="111">
        <v>650.6</v>
      </c>
      <c r="M75" s="111">
        <v>602.22800000000007</v>
      </c>
      <c r="N75" s="111">
        <v>659.30000000000007</v>
      </c>
      <c r="O75" s="111">
        <v>685.89200000000005</v>
      </c>
      <c r="P75" s="111">
        <v>758.53399999999999</v>
      </c>
      <c r="Q75" s="111">
        <v>983.14800000000014</v>
      </c>
      <c r="R75" s="111">
        <v>976.53199999999993</v>
      </c>
      <c r="S75" s="200"/>
      <c r="T75" s="200"/>
    </row>
    <row r="76" spans="2:20" s="184" customFormat="1" x14ac:dyDescent="0.2">
      <c r="E76" s="146"/>
      <c r="F76" s="146"/>
      <c r="G76" s="146"/>
      <c r="H76" s="146"/>
      <c r="I76" s="146"/>
      <c r="J76" s="146"/>
      <c r="K76" s="146"/>
      <c r="L76" s="146"/>
      <c r="M76" s="146"/>
      <c r="N76" s="146"/>
      <c r="O76" s="146"/>
      <c r="P76" s="146"/>
      <c r="Q76" s="146"/>
      <c r="R76" s="146"/>
    </row>
    <row r="77" spans="2:20" s="184" customFormat="1" x14ac:dyDescent="0.2">
      <c r="B77" s="187" t="s">
        <v>23</v>
      </c>
      <c r="C77" s="187"/>
      <c r="D77" s="187"/>
      <c r="E77" s="147"/>
      <c r="F77" s="147"/>
      <c r="G77" s="147"/>
      <c r="H77" s="147"/>
      <c r="I77" s="147"/>
      <c r="J77" s="147"/>
      <c r="K77" s="147"/>
      <c r="L77" s="147"/>
      <c r="M77" s="147"/>
      <c r="N77" s="147"/>
      <c r="O77" s="147"/>
      <c r="P77" s="147"/>
      <c r="Q77" s="147"/>
      <c r="R77" s="147"/>
    </row>
    <row r="78" spans="2:20" s="184" customFormat="1" x14ac:dyDescent="0.2">
      <c r="B78" s="184" t="s">
        <v>94</v>
      </c>
      <c r="C78" s="110">
        <v>384.8578</v>
      </c>
      <c r="D78" s="110">
        <v>384.82400000000001</v>
      </c>
      <c r="E78" s="110">
        <v>349.94299999999998</v>
      </c>
      <c r="F78" s="110">
        <v>349.94299999999998</v>
      </c>
      <c r="G78" s="110">
        <v>349.94299999999998</v>
      </c>
      <c r="H78" s="110">
        <v>313.3</v>
      </c>
      <c r="I78" s="110">
        <v>313.3</v>
      </c>
      <c r="J78" s="110">
        <v>313.2</v>
      </c>
      <c r="K78" s="110">
        <v>312.89999999999998</v>
      </c>
      <c r="L78" s="110">
        <v>312</v>
      </c>
      <c r="M78" s="110">
        <v>308.7</v>
      </c>
      <c r="N78" s="110">
        <v>308.7</v>
      </c>
      <c r="O78" s="110">
        <v>284.11</v>
      </c>
      <c r="P78" s="110">
        <v>284.11</v>
      </c>
      <c r="Q78" s="110">
        <v>71.349000000000004</v>
      </c>
      <c r="R78" s="110">
        <v>71.349000000000004</v>
      </c>
    </row>
    <row r="79" spans="2:20" s="184" customFormat="1" x14ac:dyDescent="0.2">
      <c r="B79" s="184" t="s">
        <v>95</v>
      </c>
      <c r="C79" s="110">
        <v>27.388400000000001</v>
      </c>
      <c r="D79" s="110">
        <v>692.46699999999998</v>
      </c>
      <c r="E79" s="110">
        <v>594.27700000000004</v>
      </c>
      <c r="F79" s="110">
        <v>594.27700000000004</v>
      </c>
      <c r="G79" s="110">
        <v>594.27700000000004</v>
      </c>
      <c r="H79" s="110">
        <v>484.9</v>
      </c>
      <c r="I79" s="110">
        <v>484.9</v>
      </c>
      <c r="J79" s="110">
        <v>484.8</v>
      </c>
      <c r="K79" s="110">
        <v>484.8</v>
      </c>
      <c r="L79" s="110">
        <v>483.6</v>
      </c>
      <c r="M79" s="110">
        <v>481.16300000000001</v>
      </c>
      <c r="N79" s="110">
        <v>481.2</v>
      </c>
      <c r="O79" s="110">
        <v>461.49099999999999</v>
      </c>
      <c r="P79" s="110">
        <v>464.74700000000001</v>
      </c>
      <c r="Q79" s="110">
        <v>747.471</v>
      </c>
      <c r="R79" s="110">
        <v>747.471</v>
      </c>
    </row>
    <row r="80" spans="2:20" s="184" customFormat="1" x14ac:dyDescent="0.2">
      <c r="B80" s="184" t="s">
        <v>96</v>
      </c>
      <c r="C80" s="109">
        <v>-10.446400000000001</v>
      </c>
      <c r="D80" s="109">
        <v>-710.59900000000005</v>
      </c>
      <c r="E80" s="109">
        <v>-784.89890000000003</v>
      </c>
      <c r="F80" s="109">
        <v>-706.69799999999998</v>
      </c>
      <c r="G80" s="109">
        <v>-276.2</v>
      </c>
      <c r="H80" s="109">
        <v>-254.80799999999999</v>
      </c>
      <c r="I80" s="109">
        <v>19.3</v>
      </c>
      <c r="J80" s="109">
        <v>182.5</v>
      </c>
      <c r="K80" s="109">
        <v>242.9</v>
      </c>
      <c r="L80" s="109">
        <v>57.2</v>
      </c>
      <c r="M80" s="109">
        <v>69.510000000000005</v>
      </c>
      <c r="N80" s="109">
        <v>77.099999999999994</v>
      </c>
      <c r="O80" s="109">
        <v>-33.609000000000002</v>
      </c>
      <c r="P80" s="109">
        <v>48.290999999999997</v>
      </c>
      <c r="Q80" s="109">
        <v>-16.2</v>
      </c>
      <c r="R80" s="109">
        <v>-41.915999999999997</v>
      </c>
    </row>
    <row r="81" spans="2:18" s="184" customFormat="1" x14ac:dyDescent="0.2">
      <c r="B81" s="189" t="s">
        <v>97</v>
      </c>
      <c r="C81" s="110">
        <v>1.2378</v>
      </c>
      <c r="D81" s="110" t="s">
        <v>57</v>
      </c>
      <c r="E81" s="110">
        <v>2.5999999999999999E-2</v>
      </c>
      <c r="F81" s="110" t="s">
        <v>57</v>
      </c>
      <c r="G81" s="110">
        <v>-4.7E-2</v>
      </c>
      <c r="H81" s="110">
        <v>0.33900000000000002</v>
      </c>
      <c r="I81" s="110">
        <v>-0.3</v>
      </c>
      <c r="J81" s="110">
        <v>-0.1</v>
      </c>
      <c r="K81" s="110">
        <v>-0.2</v>
      </c>
      <c r="L81" s="110">
        <v>-0.2</v>
      </c>
      <c r="M81" s="110">
        <v>-0.76500000000000001</v>
      </c>
      <c r="N81" s="110">
        <v>-1.9</v>
      </c>
      <c r="O81" s="110">
        <v>0.13500000000000001</v>
      </c>
      <c r="P81" s="110">
        <v>1.4E-2</v>
      </c>
      <c r="Q81" s="110">
        <v>-8.2970000000000006</v>
      </c>
      <c r="R81" s="110">
        <v>0.94</v>
      </c>
    </row>
    <row r="82" spans="2:18" s="184" customFormat="1" x14ac:dyDescent="0.2">
      <c r="B82" s="189" t="s">
        <v>98</v>
      </c>
      <c r="C82" s="109">
        <v>-8.9587000000000003</v>
      </c>
      <c r="D82" s="109">
        <v>32.716999999999999</v>
      </c>
      <c r="E82" s="109">
        <v>1.96</v>
      </c>
      <c r="F82" s="109">
        <v>-74.754000000000005</v>
      </c>
      <c r="G82" s="109">
        <v>-273.17500000000001</v>
      </c>
      <c r="H82" s="109">
        <v>-13.933999999999999</v>
      </c>
      <c r="I82" s="109">
        <v>-9.6</v>
      </c>
      <c r="J82" s="109">
        <v>16.3</v>
      </c>
      <c r="K82" s="109">
        <v>8.4</v>
      </c>
      <c r="L82" s="109">
        <v>29.3</v>
      </c>
      <c r="M82" s="109">
        <v>20.088999999999999</v>
      </c>
      <c r="N82" s="109">
        <v>21.5</v>
      </c>
      <c r="O82" s="109">
        <v>31.279</v>
      </c>
      <c r="P82" s="109">
        <v>-3.27</v>
      </c>
      <c r="Q82" s="109">
        <v>-136.01499999999999</v>
      </c>
      <c r="R82" s="109">
        <v>21.065999999999999</v>
      </c>
    </row>
    <row r="83" spans="2:18" s="188" customFormat="1" ht="15" customHeight="1" x14ac:dyDescent="0.2">
      <c r="B83" s="117" t="s">
        <v>99</v>
      </c>
      <c r="C83" s="111">
        <f>SUM(C78:C82)</f>
        <v>394.07889999999998</v>
      </c>
      <c r="D83" s="111">
        <f>SUM(D78:D82)</f>
        <v>399.40899999999988</v>
      </c>
      <c r="E83" s="111">
        <v>161.30710000000002</v>
      </c>
      <c r="F83" s="111">
        <v>162.76900000000001</v>
      </c>
      <c r="G83" s="111">
        <v>394.79899999999998</v>
      </c>
      <c r="H83" s="111">
        <f>SUM(H78:H82)</f>
        <v>529.79700000000014</v>
      </c>
      <c r="I83" s="111">
        <v>807.6</v>
      </c>
      <c r="J83" s="111">
        <v>996.7</v>
      </c>
      <c r="K83" s="111">
        <v>1048.8</v>
      </c>
      <c r="L83" s="111">
        <v>881.9</v>
      </c>
      <c r="M83" s="111">
        <v>878.69700000000012</v>
      </c>
      <c r="N83" s="111">
        <v>886.6</v>
      </c>
      <c r="O83" s="111">
        <v>743.40599999999995</v>
      </c>
      <c r="P83" s="111">
        <v>793.89199999999994</v>
      </c>
      <c r="Q83" s="111">
        <v>658.30799999999999</v>
      </c>
      <c r="R83" s="111">
        <v>798.91000000000008</v>
      </c>
    </row>
    <row r="84" spans="2:18" s="184" customFormat="1" x14ac:dyDescent="0.2">
      <c r="E84" s="143"/>
      <c r="F84" s="143"/>
      <c r="G84" s="143"/>
      <c r="H84" s="143"/>
      <c r="I84" s="143"/>
      <c r="J84" s="143"/>
      <c r="K84" s="143"/>
      <c r="L84" s="143"/>
      <c r="M84" s="143"/>
      <c r="N84" s="143"/>
      <c r="O84" s="143"/>
      <c r="P84" s="143"/>
      <c r="Q84" s="143"/>
      <c r="R84" s="143"/>
    </row>
    <row r="85" spans="2:18" s="188" customFormat="1" ht="15" customHeight="1" x14ac:dyDescent="0.2">
      <c r="B85" s="114" t="s">
        <v>100</v>
      </c>
      <c r="C85" s="149">
        <v>24.870699999999999</v>
      </c>
      <c r="D85" s="149">
        <v>31.582000000000001</v>
      </c>
      <c r="E85" s="149">
        <v>39.753999999999998</v>
      </c>
      <c r="F85" s="149">
        <v>44.433</v>
      </c>
      <c r="G85" s="149">
        <v>3.9E-2</v>
      </c>
      <c r="H85" s="149">
        <v>0</v>
      </c>
      <c r="I85" s="149">
        <v>0</v>
      </c>
      <c r="J85" s="149">
        <v>1.3</v>
      </c>
      <c r="K85" s="149">
        <v>2.2999999999999998</v>
      </c>
      <c r="L85" s="149">
        <v>2.2000000000000002</v>
      </c>
      <c r="M85" s="149">
        <v>3.0259999999999998</v>
      </c>
      <c r="N85" s="149">
        <v>6.4</v>
      </c>
      <c r="O85" s="149">
        <v>12.063000000000001</v>
      </c>
      <c r="P85" s="149">
        <v>11.975</v>
      </c>
      <c r="Q85" s="149">
        <v>8.8870000000000005</v>
      </c>
      <c r="R85" s="149">
        <v>4.968</v>
      </c>
    </row>
    <row r="86" spans="2:18" s="188" customFormat="1" ht="15" customHeight="1" x14ac:dyDescent="0.2">
      <c r="B86" s="114"/>
      <c r="C86" s="59"/>
      <c r="D86" s="59"/>
      <c r="E86" s="59"/>
      <c r="F86" s="59"/>
      <c r="G86" s="59"/>
      <c r="H86" s="59"/>
      <c r="I86" s="59"/>
      <c r="J86" s="59"/>
      <c r="K86" s="59"/>
      <c r="L86" s="59"/>
      <c r="M86" s="59"/>
      <c r="N86" s="59"/>
      <c r="O86" s="59"/>
      <c r="P86" s="59"/>
      <c r="Q86" s="59"/>
      <c r="R86" s="59"/>
    </row>
    <row r="87" spans="2:18" s="188" customFormat="1" ht="15" customHeight="1" x14ac:dyDescent="0.2">
      <c r="B87" s="114" t="s">
        <v>101</v>
      </c>
      <c r="C87" s="111">
        <f>C83+C85</f>
        <v>418.94959999999998</v>
      </c>
      <c r="D87" s="111">
        <v>430.99200000000002</v>
      </c>
      <c r="E87" s="111">
        <v>201.06110000000001</v>
      </c>
      <c r="F87" s="111">
        <v>207.202</v>
      </c>
      <c r="G87" s="111">
        <v>394.83800000000002</v>
      </c>
      <c r="H87" s="111">
        <f>H83+H85</f>
        <v>529.79700000000014</v>
      </c>
      <c r="I87" s="111">
        <v>807.6</v>
      </c>
      <c r="J87" s="111">
        <v>998</v>
      </c>
      <c r="K87" s="111">
        <v>1051.0999999999999</v>
      </c>
      <c r="L87" s="111">
        <v>884.2</v>
      </c>
      <c r="M87" s="111">
        <v>881.72300000000007</v>
      </c>
      <c r="N87" s="111">
        <v>892.9</v>
      </c>
      <c r="O87" s="111">
        <v>755.46900000000005</v>
      </c>
      <c r="P87" s="111">
        <v>805.86699999999996</v>
      </c>
      <c r="Q87" s="111">
        <v>667.19500000000005</v>
      </c>
      <c r="R87" s="111">
        <v>803.87800000000004</v>
      </c>
    </row>
    <row r="88" spans="2:18" s="184" customFormat="1" x14ac:dyDescent="0.2">
      <c r="D88" s="146"/>
      <c r="E88" s="146"/>
      <c r="F88" s="146"/>
      <c r="G88" s="146"/>
      <c r="H88" s="146"/>
      <c r="I88" s="146"/>
      <c r="J88" s="146"/>
      <c r="K88" s="146"/>
      <c r="L88" s="146"/>
      <c r="M88" s="146"/>
      <c r="N88" s="146"/>
      <c r="O88" s="146"/>
      <c r="P88" s="146"/>
      <c r="Q88" s="146"/>
      <c r="R88" s="146"/>
    </row>
    <row r="89" spans="2:18" s="188" customFormat="1" ht="15" customHeight="1" x14ac:dyDescent="0.2">
      <c r="B89" s="114" t="s">
        <v>102</v>
      </c>
      <c r="C89" s="61">
        <f>C46</f>
        <v>912.9</v>
      </c>
      <c r="D89" s="111">
        <v>999.63099999999997</v>
      </c>
      <c r="E89" s="111">
        <v>939.02507000000003</v>
      </c>
      <c r="F89" s="111">
        <v>986.52099999999996</v>
      </c>
      <c r="G89" s="111">
        <v>925.31100000000004</v>
      </c>
      <c r="H89" s="111">
        <f>H87+H75</f>
        <v>1189.5460000000003</v>
      </c>
      <c r="I89" s="111">
        <v>1468.8</v>
      </c>
      <c r="J89" s="111">
        <v>1608.2</v>
      </c>
      <c r="K89" s="111">
        <v>1655.4</v>
      </c>
      <c r="L89" s="111">
        <v>1534.8000000000002</v>
      </c>
      <c r="M89" s="111">
        <v>1483.951</v>
      </c>
      <c r="N89" s="111">
        <v>1552.2</v>
      </c>
      <c r="O89" s="111">
        <v>1441.3610000000001</v>
      </c>
      <c r="P89" s="111">
        <v>1564.4009999999998</v>
      </c>
      <c r="Q89" s="111">
        <v>1650.3430000000003</v>
      </c>
      <c r="R89" s="111">
        <v>1780.4099999999999</v>
      </c>
    </row>
    <row r="90" spans="2:18" x14ac:dyDescent="0.2">
      <c r="R90" s="111"/>
    </row>
  </sheetData>
  <printOptions horizontalCentered="1"/>
  <pageMargins left="0.74803149606299213" right="0.74803149606299213" top="0.98425196850393704" bottom="0.98425196850393704" header="0.51181102362204722" footer="0.51181102362204722"/>
  <pageSetup paperSize="8" scale="4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649F-AAE1-4A4C-B5EC-3DFC4AA66E3F}">
  <sheetPr>
    <pageSetUpPr fitToPage="1"/>
  </sheetPr>
  <dimension ref="A1:S72"/>
  <sheetViews>
    <sheetView showGridLines="0" zoomScaleNormal="100" zoomScaleSheetLayoutView="115" workbookViewId="0">
      <selection activeCell="C5" sqref="C5:C69"/>
    </sheetView>
  </sheetViews>
  <sheetFormatPr defaultRowHeight="12.75" x14ac:dyDescent="0.2"/>
  <cols>
    <col min="1" max="1" width="3.5703125" customWidth="1"/>
    <col min="2" max="2" width="70.28515625" customWidth="1"/>
    <col min="3" max="5" width="16.42578125" customWidth="1"/>
    <col min="6" max="8" width="16.42578125" style="225" customWidth="1"/>
    <col min="9" max="10" width="16.28515625" customWidth="1"/>
    <col min="11" max="12" width="16.28515625" style="1" customWidth="1"/>
    <col min="13" max="19" width="16.42578125" customWidth="1"/>
  </cols>
  <sheetData>
    <row r="1" spans="2:19" ht="26.25" x14ac:dyDescent="0.4">
      <c r="B1" s="2" t="s">
        <v>138</v>
      </c>
      <c r="C1" s="2"/>
      <c r="D1" s="2"/>
      <c r="E1" s="2"/>
      <c r="F1" s="313"/>
      <c r="G1" s="313"/>
      <c r="H1" s="313"/>
      <c r="I1" s="2"/>
      <c r="J1" s="2"/>
      <c r="K1" s="3"/>
      <c r="L1" s="3"/>
      <c r="M1" s="2"/>
      <c r="N1" s="2"/>
      <c r="O1" s="2"/>
      <c r="P1" s="2"/>
      <c r="Q1" s="2"/>
      <c r="R1" s="2"/>
      <c r="S1" s="2"/>
    </row>
    <row r="2" spans="2:19" ht="13.5" thickBot="1" x14ac:dyDescent="0.25"/>
    <row r="3" spans="2:19" s="9" customFormat="1" ht="25.5" customHeight="1" thickBot="1" x14ac:dyDescent="0.25">
      <c r="B3" s="198" t="s">
        <v>44</v>
      </c>
      <c r="C3" s="203">
        <v>2023</v>
      </c>
      <c r="D3" s="203">
        <v>2022</v>
      </c>
      <c r="E3" s="203">
        <v>2021</v>
      </c>
      <c r="F3" s="203" t="s">
        <v>343</v>
      </c>
      <c r="G3" s="203">
        <v>2020</v>
      </c>
      <c r="H3" s="203" t="s">
        <v>56</v>
      </c>
      <c r="I3" s="203">
        <v>2018</v>
      </c>
      <c r="J3" s="203">
        <v>2017</v>
      </c>
      <c r="K3" s="203">
        <v>2016</v>
      </c>
      <c r="L3" s="203">
        <v>2015</v>
      </c>
      <c r="M3" s="203">
        <v>2014</v>
      </c>
      <c r="N3" s="203" t="s">
        <v>8</v>
      </c>
      <c r="O3" s="203" t="s">
        <v>7</v>
      </c>
      <c r="P3" s="203" t="s">
        <v>6</v>
      </c>
      <c r="Q3" s="203" t="s">
        <v>5</v>
      </c>
      <c r="R3" s="203" t="s">
        <v>2</v>
      </c>
      <c r="S3" s="203" t="s">
        <v>3</v>
      </c>
    </row>
    <row r="4" spans="2:19" ht="8.25" customHeight="1" x14ac:dyDescent="0.25">
      <c r="B4" s="4"/>
      <c r="C4" s="4"/>
      <c r="D4" s="4"/>
      <c r="E4" s="21"/>
      <c r="F4" s="408"/>
      <c r="G4" s="408"/>
      <c r="H4" s="408"/>
      <c r="I4" s="4"/>
      <c r="J4" s="4"/>
      <c r="M4" s="21"/>
      <c r="N4" s="21"/>
      <c r="O4" s="21"/>
      <c r="P4" s="21"/>
      <c r="Q4" s="21"/>
      <c r="R4" s="21"/>
      <c r="S4" s="21"/>
    </row>
    <row r="5" spans="2:19" s="12" customFormat="1" x14ac:dyDescent="0.2">
      <c r="B5" s="362" t="s">
        <v>317</v>
      </c>
      <c r="C5" s="99">
        <v>26.2</v>
      </c>
      <c r="D5" s="99">
        <v>71.5</v>
      </c>
      <c r="E5" s="99">
        <v>38.1</v>
      </c>
      <c r="F5" s="99">
        <v>-45.6</v>
      </c>
      <c r="G5" s="99">
        <v>-41.6</v>
      </c>
      <c r="H5" s="363">
        <v>36.799999999999997</v>
      </c>
      <c r="I5" s="93">
        <v>27.8</v>
      </c>
      <c r="J5" s="93">
        <v>4.9000000000000004</v>
      </c>
      <c r="K5" s="32">
        <v>47</v>
      </c>
      <c r="L5" s="32">
        <v>61.1</v>
      </c>
      <c r="M5" s="92">
        <v>68.2</v>
      </c>
      <c r="N5" s="92">
        <v>51.1</v>
      </c>
      <c r="O5" s="92">
        <v>58.7</v>
      </c>
      <c r="P5" s="92">
        <v>56.2</v>
      </c>
      <c r="Q5" s="92">
        <v>39.1</v>
      </c>
      <c r="R5" s="109">
        <v>-13.2</v>
      </c>
      <c r="S5" s="92">
        <v>42.8</v>
      </c>
    </row>
    <row r="6" spans="2:19" s="12" customFormat="1" ht="17.25" customHeight="1" x14ac:dyDescent="0.2">
      <c r="B6" s="364" t="s">
        <v>24</v>
      </c>
      <c r="C6" s="94">
        <v>21.5</v>
      </c>
      <c r="D6" s="94">
        <v>-62.4</v>
      </c>
      <c r="E6" s="94">
        <v>-20.8</v>
      </c>
      <c r="F6" s="94">
        <v>42.5</v>
      </c>
      <c r="G6" s="94">
        <v>42.5</v>
      </c>
      <c r="H6" s="94">
        <v>-10.199999999999999</v>
      </c>
      <c r="I6" s="95">
        <v>-25.1</v>
      </c>
      <c r="J6" s="95">
        <v>-36</v>
      </c>
      <c r="K6" s="95">
        <v>42</v>
      </c>
      <c r="L6" s="95">
        <v>53.7</v>
      </c>
      <c r="M6" s="94">
        <v>-41.3</v>
      </c>
      <c r="N6" s="94">
        <v>17.5</v>
      </c>
      <c r="O6" s="94">
        <v>21.7</v>
      </c>
      <c r="P6" s="94">
        <v>-0.3</v>
      </c>
      <c r="Q6" s="94">
        <v>58.5</v>
      </c>
      <c r="R6" s="94">
        <v>24.7</v>
      </c>
      <c r="S6" s="94">
        <v>13.5</v>
      </c>
    </row>
    <row r="7" spans="2:19" ht="21" customHeight="1" x14ac:dyDescent="0.2">
      <c r="B7" s="365" t="s">
        <v>318</v>
      </c>
      <c r="C7" s="437">
        <f>SUM(C5:C6)</f>
        <v>47.7</v>
      </c>
      <c r="D7" s="437">
        <v>9.1999999999999993</v>
      </c>
      <c r="E7" s="366">
        <v>17.3</v>
      </c>
      <c r="F7" s="98">
        <v>-3.1</v>
      </c>
      <c r="G7" s="366">
        <v>0.9</v>
      </c>
      <c r="H7" s="366">
        <v>26.5</v>
      </c>
      <c r="I7" s="97">
        <f>SUM(I5:I6)</f>
        <v>2.6999999999999993</v>
      </c>
      <c r="J7" s="98">
        <v>-31.1</v>
      </c>
      <c r="K7" s="98">
        <v>89.1</v>
      </c>
      <c r="L7" s="98">
        <v>114.8</v>
      </c>
      <c r="M7" s="96">
        <v>26.900000000000006</v>
      </c>
      <c r="N7" s="96">
        <v>68.599999999999994</v>
      </c>
      <c r="O7" s="96">
        <v>80.400000000000006</v>
      </c>
      <c r="P7" s="96">
        <v>55.9</v>
      </c>
      <c r="Q7" s="96">
        <v>97.6</v>
      </c>
      <c r="R7" s="96">
        <v>11.5</v>
      </c>
      <c r="S7" s="96">
        <v>56.3</v>
      </c>
    </row>
    <row r="8" spans="2:19" ht="21" customHeight="1" x14ac:dyDescent="0.2">
      <c r="B8" s="365" t="s">
        <v>319</v>
      </c>
      <c r="C8" s="98">
        <v>-2.7</v>
      </c>
      <c r="D8" s="98">
        <v>-15.7</v>
      </c>
      <c r="E8" s="98">
        <v>-9.8000000000000007</v>
      </c>
      <c r="F8" s="98">
        <v>-17.399999999999999</v>
      </c>
      <c r="G8" s="98">
        <v>-21.4</v>
      </c>
      <c r="H8" s="98">
        <v>-30.6</v>
      </c>
      <c r="I8" s="98">
        <v>-28.3</v>
      </c>
      <c r="J8" s="98">
        <v>-39</v>
      </c>
      <c r="K8" s="98">
        <v>-44.3</v>
      </c>
      <c r="L8" s="98">
        <v>-40</v>
      </c>
      <c r="M8" s="96">
        <v>-39.299999999999997</v>
      </c>
      <c r="N8" s="96">
        <v>-40.200000000000003</v>
      </c>
      <c r="O8" s="96">
        <v>-99.4</v>
      </c>
      <c r="P8" s="96">
        <v>-31.2</v>
      </c>
      <c r="Q8" s="96">
        <v>-23.3</v>
      </c>
      <c r="R8" s="96">
        <v>-22.3</v>
      </c>
      <c r="S8" s="96">
        <v>-88.4</v>
      </c>
    </row>
    <row r="9" spans="2:19" ht="21" customHeight="1" x14ac:dyDescent="0.2">
      <c r="B9" s="365" t="s">
        <v>320</v>
      </c>
      <c r="C9" s="98">
        <f>D9</f>
        <v>-10</v>
      </c>
      <c r="D9" s="98">
        <v>-10</v>
      </c>
      <c r="E9" s="98">
        <v>-10.3</v>
      </c>
      <c r="F9" s="98">
        <v>-10.7</v>
      </c>
      <c r="G9" s="98">
        <v>-10.7</v>
      </c>
      <c r="H9" s="98">
        <v>-16.899999999999999</v>
      </c>
      <c r="I9" s="159" t="s">
        <v>57</v>
      </c>
      <c r="J9" s="159" t="s">
        <v>57</v>
      </c>
      <c r="K9" s="159" t="s">
        <v>57</v>
      </c>
      <c r="L9" s="159" t="s">
        <v>57</v>
      </c>
      <c r="M9" s="159" t="s">
        <v>57</v>
      </c>
      <c r="N9" s="159" t="s">
        <v>57</v>
      </c>
      <c r="O9" s="159" t="s">
        <v>57</v>
      </c>
      <c r="P9" s="159" t="s">
        <v>57</v>
      </c>
      <c r="Q9" s="159" t="s">
        <v>57</v>
      </c>
      <c r="R9" s="159" t="s">
        <v>57</v>
      </c>
      <c r="S9" s="159" t="s">
        <v>57</v>
      </c>
    </row>
    <row r="10" spans="2:19" ht="21" customHeight="1" x14ac:dyDescent="0.2">
      <c r="B10" s="365" t="s">
        <v>321</v>
      </c>
      <c r="C10" s="98">
        <v>-5.9</v>
      </c>
      <c r="D10" s="98" t="s">
        <v>57</v>
      </c>
      <c r="E10" s="98" t="s">
        <v>57</v>
      </c>
      <c r="F10" s="98">
        <f>G10</f>
        <v>-111.8</v>
      </c>
      <c r="G10" s="98">
        <v>-111.8</v>
      </c>
      <c r="H10" s="366">
        <v>7.2</v>
      </c>
      <c r="I10" s="159" t="s">
        <v>57</v>
      </c>
      <c r="J10" s="159" t="s">
        <v>57</v>
      </c>
      <c r="K10" s="159" t="s">
        <v>57</v>
      </c>
      <c r="L10" s="159" t="s">
        <v>57</v>
      </c>
      <c r="M10" s="159" t="s">
        <v>57</v>
      </c>
      <c r="N10" s="159" t="s">
        <v>57</v>
      </c>
      <c r="O10" s="159" t="s">
        <v>57</v>
      </c>
      <c r="P10" s="159" t="s">
        <v>57</v>
      </c>
      <c r="Q10" s="159" t="s">
        <v>57</v>
      </c>
      <c r="R10" s="159" t="s">
        <v>57</v>
      </c>
      <c r="S10" s="159" t="s">
        <v>57</v>
      </c>
    </row>
    <row r="11" spans="2:19" ht="9" customHeight="1" x14ac:dyDescent="0.2">
      <c r="B11" s="231"/>
      <c r="C11" s="231"/>
      <c r="D11" s="231"/>
      <c r="E11" s="99"/>
      <c r="F11" s="99"/>
      <c r="G11" s="99"/>
      <c r="H11" s="99"/>
      <c r="I11" s="100"/>
      <c r="J11" s="100"/>
      <c r="K11" s="100"/>
      <c r="L11" s="100"/>
      <c r="M11" s="99"/>
      <c r="N11" s="99"/>
      <c r="O11" s="99"/>
      <c r="P11" s="99"/>
      <c r="Q11" s="99"/>
      <c r="R11" s="99"/>
      <c r="S11" s="99"/>
    </row>
    <row r="12" spans="2:19" s="39" customFormat="1" ht="21" customHeight="1" x14ac:dyDescent="0.2">
      <c r="B12" s="367" t="s">
        <v>1</v>
      </c>
      <c r="C12" s="155">
        <f>SUM(C7:C10)</f>
        <v>29.1</v>
      </c>
      <c r="D12" s="155">
        <f>SUM(D7:D9)</f>
        <v>-16.5</v>
      </c>
      <c r="E12" s="154">
        <v>-2.7</v>
      </c>
      <c r="F12" s="154">
        <f>G12</f>
        <v>-143.1</v>
      </c>
      <c r="G12" s="154">
        <v>-143.1</v>
      </c>
      <c r="H12" s="154">
        <v>-13.8</v>
      </c>
      <c r="I12" s="155">
        <f>I7+I8</f>
        <v>-25.6</v>
      </c>
      <c r="J12" s="156">
        <f>J7+J8</f>
        <v>-70.099999999999994</v>
      </c>
      <c r="K12" s="156">
        <v>44.7</v>
      </c>
      <c r="L12" s="156">
        <v>74.8</v>
      </c>
      <c r="M12" s="154">
        <v>-12.399999999999991</v>
      </c>
      <c r="N12" s="154">
        <v>28.399999999999991</v>
      </c>
      <c r="O12" s="154">
        <v>-19</v>
      </c>
      <c r="P12" s="154">
        <v>24.7</v>
      </c>
      <c r="Q12" s="154">
        <v>74.3</v>
      </c>
      <c r="R12" s="154">
        <v>-10.8</v>
      </c>
      <c r="S12" s="154">
        <v>-32.100000000000009</v>
      </c>
    </row>
    <row r="13" spans="2:19" x14ac:dyDescent="0.2">
      <c r="E13" s="19"/>
      <c r="F13" s="409"/>
      <c r="G13" s="409"/>
      <c r="H13" s="409"/>
      <c r="K13" s="8"/>
      <c r="L13" s="8"/>
      <c r="M13" s="19"/>
      <c r="N13" s="19"/>
      <c r="O13" s="19"/>
      <c r="P13" s="19"/>
      <c r="Q13" s="19"/>
      <c r="R13" s="19"/>
      <c r="S13" s="19"/>
    </row>
    <row r="14" spans="2:19" x14ac:dyDescent="0.2">
      <c r="E14" s="19"/>
      <c r="F14" s="409"/>
      <c r="G14" s="409"/>
      <c r="H14" s="409"/>
      <c r="M14" s="19"/>
      <c r="N14" s="19"/>
      <c r="O14" s="19"/>
      <c r="P14" s="19"/>
      <c r="Q14" s="19"/>
      <c r="R14" s="19"/>
      <c r="S14" s="19"/>
    </row>
    <row r="15" spans="2:19" s="43" customFormat="1" ht="26.25" x14ac:dyDescent="0.4">
      <c r="B15" s="41" t="s">
        <v>139</v>
      </c>
      <c r="C15" s="185"/>
      <c r="D15" s="185"/>
      <c r="E15" s="42"/>
      <c r="F15" s="410"/>
      <c r="G15" s="410"/>
      <c r="H15" s="410"/>
      <c r="I15" s="56"/>
      <c r="J15" s="56"/>
      <c r="K15" s="56"/>
      <c r="L15" s="56"/>
      <c r="M15" s="56"/>
      <c r="N15" s="56"/>
      <c r="O15" s="56"/>
      <c r="P15" s="56"/>
      <c r="Q15" s="56"/>
      <c r="R15" s="56"/>
      <c r="S15" s="56"/>
    </row>
    <row r="16" spans="2:19" s="43" customFormat="1" ht="13.5" thickBot="1" x14ac:dyDescent="0.25">
      <c r="C16" s="184"/>
      <c r="D16" s="184"/>
      <c r="E16" s="45"/>
      <c r="F16" s="323"/>
      <c r="G16" s="323"/>
      <c r="H16" s="323"/>
      <c r="I16" s="58"/>
      <c r="J16" s="58"/>
      <c r="K16" s="58"/>
      <c r="L16" s="58"/>
      <c r="M16" s="58"/>
      <c r="N16" s="58"/>
      <c r="O16" s="58"/>
      <c r="P16" s="58"/>
      <c r="Q16" s="58"/>
      <c r="R16" s="58"/>
      <c r="S16" s="58"/>
    </row>
    <row r="17" spans="2:19" s="9" customFormat="1" ht="25.5" customHeight="1" thickBot="1" x14ac:dyDescent="0.25">
      <c r="B17" s="198" t="s">
        <v>44</v>
      </c>
      <c r="C17" s="203">
        <f>C3</f>
        <v>2023</v>
      </c>
      <c r="D17" s="203">
        <v>2022</v>
      </c>
      <c r="E17" s="203">
        <v>2021</v>
      </c>
      <c r="F17" s="203" t="s">
        <v>343</v>
      </c>
      <c r="G17" s="203">
        <v>2020</v>
      </c>
      <c r="H17" s="203" t="s">
        <v>56</v>
      </c>
      <c r="I17" s="203">
        <v>2018</v>
      </c>
      <c r="J17" s="203">
        <v>2017</v>
      </c>
      <c r="K17" s="203">
        <v>2016</v>
      </c>
      <c r="L17" s="203">
        <v>2015</v>
      </c>
      <c r="M17" s="203">
        <v>2014</v>
      </c>
      <c r="N17" s="203" t="s">
        <v>8</v>
      </c>
      <c r="O17" s="203" t="s">
        <v>7</v>
      </c>
      <c r="P17" s="203" t="s">
        <v>6</v>
      </c>
      <c r="Q17" s="203" t="s">
        <v>5</v>
      </c>
      <c r="R17" s="203" t="s">
        <v>2</v>
      </c>
      <c r="S17" s="203" t="s">
        <v>3</v>
      </c>
    </row>
    <row r="18" spans="2:19" s="43" customFormat="1" ht="8.25" customHeight="1" x14ac:dyDescent="0.25">
      <c r="B18" s="46"/>
      <c r="C18" s="186"/>
      <c r="D18" s="186"/>
      <c r="E18" s="45"/>
      <c r="F18" s="323"/>
      <c r="G18" s="323"/>
      <c r="H18" s="323"/>
      <c r="I18" s="58"/>
      <c r="J18" s="58"/>
      <c r="K18" s="58"/>
      <c r="L18" s="58"/>
      <c r="M18" s="58"/>
      <c r="N18" s="58"/>
      <c r="O18" s="58"/>
      <c r="P18" s="58"/>
      <c r="Q18" s="67"/>
      <c r="R18" s="58"/>
      <c r="S18" s="58"/>
    </row>
    <row r="19" spans="2:19" s="43" customFormat="1" x14ac:dyDescent="0.2">
      <c r="C19" s="184"/>
      <c r="D19" s="184"/>
      <c r="E19" s="45"/>
      <c r="F19" s="323"/>
      <c r="G19" s="323"/>
      <c r="H19" s="323"/>
      <c r="I19" s="58"/>
      <c r="J19" s="58"/>
      <c r="K19" s="58"/>
      <c r="L19" s="58"/>
      <c r="M19" s="58"/>
      <c r="N19" s="58"/>
      <c r="O19" s="58"/>
      <c r="P19" s="58"/>
      <c r="Q19" s="58"/>
      <c r="R19" s="58"/>
      <c r="S19" s="58"/>
    </row>
    <row r="20" spans="2:19" s="115" customFormat="1" ht="25.5" x14ac:dyDescent="0.2">
      <c r="B20" s="117" t="s">
        <v>108</v>
      </c>
      <c r="C20" s="157">
        <v>77.709999999999994</v>
      </c>
      <c r="D20" s="157">
        <v>99.001999999999995</v>
      </c>
      <c r="E20" s="157">
        <v>85.965999999999994</v>
      </c>
      <c r="F20" s="411">
        <v>53.914999999999999</v>
      </c>
      <c r="G20" s="411">
        <v>53.914999999999999</v>
      </c>
      <c r="H20" s="411">
        <v>174.96700000000001</v>
      </c>
      <c r="I20" s="157">
        <v>20.841999999999999</v>
      </c>
      <c r="J20" s="157">
        <v>99.025000000000006</v>
      </c>
      <c r="K20" s="157">
        <v>47.6</v>
      </c>
      <c r="L20" s="157">
        <v>39.5</v>
      </c>
      <c r="M20" s="157">
        <v>69.7</v>
      </c>
      <c r="N20" s="157">
        <v>45.6</v>
      </c>
      <c r="O20" s="157">
        <v>76.528000000000006</v>
      </c>
      <c r="P20" s="157">
        <v>-20.9</v>
      </c>
      <c r="Q20" s="157">
        <f>+R69</f>
        <v>-20.440999999999992</v>
      </c>
      <c r="R20" s="157">
        <v>-28.468</v>
      </c>
      <c r="S20" s="61">
        <v>6.9889999999999999</v>
      </c>
    </row>
    <row r="21" spans="2:19" s="43" customFormat="1" x14ac:dyDescent="0.2">
      <c r="B21" s="48"/>
      <c r="C21" s="39"/>
      <c r="D21" s="187"/>
      <c r="E21" s="58"/>
      <c r="F21" s="331"/>
      <c r="G21" s="331"/>
      <c r="H21" s="331"/>
      <c r="I21" s="58"/>
      <c r="J21" s="58"/>
      <c r="K21" s="58"/>
      <c r="L21" s="58"/>
      <c r="M21" s="58"/>
      <c r="N21" s="58"/>
      <c r="O21" s="58"/>
      <c r="P21" s="58"/>
      <c r="Q21" s="76"/>
      <c r="R21" s="58"/>
      <c r="S21" s="58"/>
    </row>
    <row r="22" spans="2:19" s="43" customFormat="1" x14ac:dyDescent="0.2">
      <c r="B22" s="48" t="s">
        <v>109</v>
      </c>
      <c r="C22" s="39"/>
      <c r="D22" s="187"/>
      <c r="E22" s="128"/>
      <c r="F22" s="412"/>
      <c r="G22" s="412"/>
      <c r="H22" s="412"/>
      <c r="I22" s="128"/>
      <c r="J22" s="128"/>
      <c r="K22" s="128"/>
      <c r="L22" s="128"/>
      <c r="M22" s="128"/>
      <c r="N22" s="128"/>
      <c r="O22" s="65"/>
      <c r="P22" s="65"/>
      <c r="Q22" s="76"/>
      <c r="R22" s="58"/>
      <c r="S22" s="58"/>
    </row>
    <row r="23" spans="2:19" s="43" customFormat="1" ht="18" customHeight="1" x14ac:dyDescent="0.2">
      <c r="B23" s="43" t="s">
        <v>110</v>
      </c>
      <c r="C23" s="165">
        <v>-26.088999999999999</v>
      </c>
      <c r="D23" s="158">
        <v>52.348999999999997</v>
      </c>
      <c r="E23" s="158">
        <v>20.029</v>
      </c>
      <c r="F23" s="413">
        <v>-73.247</v>
      </c>
      <c r="G23" s="413">
        <v>-69.659000000000006</v>
      </c>
      <c r="H23" s="413">
        <v>-328.34500000000003</v>
      </c>
      <c r="I23" s="158">
        <v>-32.447000000000003</v>
      </c>
      <c r="J23" s="158">
        <v>-251.56700000000001</v>
      </c>
      <c r="K23" s="158">
        <v>-142.1</v>
      </c>
      <c r="L23" s="158">
        <v>-52.4</v>
      </c>
      <c r="M23" s="128">
        <v>39.5</v>
      </c>
      <c r="N23" s="128">
        <v>16</v>
      </c>
      <c r="O23" s="128">
        <v>26.600999999999999</v>
      </c>
      <c r="P23" s="128">
        <v>4.5999999999999996</v>
      </c>
      <c r="Q23" s="163">
        <v>-350.78899999999999</v>
      </c>
      <c r="R23" s="164">
        <v>-20.54</v>
      </c>
      <c r="S23" s="137">
        <v>54.542999999999999</v>
      </c>
    </row>
    <row r="24" spans="2:19" s="43" customFormat="1" ht="18" customHeight="1" x14ac:dyDescent="0.2">
      <c r="B24" s="43" t="s">
        <v>111</v>
      </c>
      <c r="C24" s="165">
        <v>44.877000000000002</v>
      </c>
      <c r="D24" s="158">
        <v>38.064</v>
      </c>
      <c r="E24" s="158">
        <v>43.319000000000003</v>
      </c>
      <c r="F24" s="413">
        <v>48.802999999999997</v>
      </c>
      <c r="G24" s="413">
        <v>49.195</v>
      </c>
      <c r="H24" s="413">
        <v>57.219000000000001</v>
      </c>
      <c r="I24" s="158">
        <v>47.63</v>
      </c>
      <c r="J24" s="158">
        <v>42.075000000000003</v>
      </c>
      <c r="K24" s="158">
        <v>47.2</v>
      </c>
      <c r="L24" s="158">
        <v>41.1</v>
      </c>
      <c r="M24" s="128">
        <v>35.4</v>
      </c>
      <c r="N24" s="128">
        <v>37</v>
      </c>
      <c r="O24" s="128">
        <v>41.222999999999999</v>
      </c>
      <c r="P24" s="128">
        <v>40</v>
      </c>
      <c r="Q24" s="128">
        <v>49.53</v>
      </c>
      <c r="R24" s="137">
        <v>39.982999999999997</v>
      </c>
      <c r="S24" s="137">
        <v>38.043999999999997</v>
      </c>
    </row>
    <row r="25" spans="2:19" s="43" customFormat="1" ht="18" customHeight="1" x14ac:dyDescent="0.2">
      <c r="B25" s="12" t="s">
        <v>140</v>
      </c>
      <c r="C25" s="165">
        <v>10.345000000000001</v>
      </c>
      <c r="D25" s="158">
        <v>10.326000000000001</v>
      </c>
      <c r="E25" s="158">
        <v>9.8930000000000007</v>
      </c>
      <c r="F25" s="413">
        <v>10.573</v>
      </c>
      <c r="G25" s="413">
        <v>10.573</v>
      </c>
      <c r="H25" s="413">
        <v>19.588000000000001</v>
      </c>
      <c r="I25" s="159" t="s">
        <v>57</v>
      </c>
      <c r="J25" s="159" t="s">
        <v>57</v>
      </c>
      <c r="K25" s="159" t="s">
        <v>57</v>
      </c>
      <c r="L25" s="159" t="s">
        <v>57</v>
      </c>
      <c r="M25" s="159" t="s">
        <v>57</v>
      </c>
      <c r="N25" s="159" t="s">
        <v>57</v>
      </c>
      <c r="O25" s="159" t="s">
        <v>57</v>
      </c>
      <c r="P25" s="159" t="s">
        <v>57</v>
      </c>
      <c r="Q25" s="159" t="s">
        <v>57</v>
      </c>
      <c r="R25" s="159" t="s">
        <v>57</v>
      </c>
      <c r="S25" s="159" t="s">
        <v>57</v>
      </c>
    </row>
    <row r="26" spans="2:19" s="43" customFormat="1" ht="18" customHeight="1" x14ac:dyDescent="0.2">
      <c r="B26" s="150" t="s">
        <v>112</v>
      </c>
      <c r="C26" s="476" t="s">
        <v>57</v>
      </c>
      <c r="D26" s="159" t="s">
        <v>57</v>
      </c>
      <c r="E26" s="159" t="s">
        <v>57</v>
      </c>
      <c r="F26" s="304" t="s">
        <v>57</v>
      </c>
      <c r="G26" s="304" t="s">
        <v>57</v>
      </c>
      <c r="H26" s="304">
        <v>227.06200000000001</v>
      </c>
      <c r="I26" s="159" t="s">
        <v>57</v>
      </c>
      <c r="J26" s="158">
        <v>192</v>
      </c>
      <c r="K26" s="158">
        <v>150</v>
      </c>
      <c r="L26" s="158">
        <v>40.5</v>
      </c>
      <c r="M26" s="159" t="s">
        <v>57</v>
      </c>
      <c r="N26" s="159" t="s">
        <v>57</v>
      </c>
      <c r="O26" s="159" t="s">
        <v>57</v>
      </c>
      <c r="P26" s="159" t="s">
        <v>57</v>
      </c>
      <c r="Q26" s="159" t="s">
        <v>57</v>
      </c>
      <c r="R26" s="159" t="s">
        <v>57</v>
      </c>
      <c r="S26" s="159" t="s">
        <v>57</v>
      </c>
    </row>
    <row r="27" spans="2:19" s="43" customFormat="1" ht="18" customHeight="1" x14ac:dyDescent="0.2">
      <c r="B27" s="12" t="s">
        <v>141</v>
      </c>
      <c r="C27" s="476" t="s">
        <v>57</v>
      </c>
      <c r="D27" s="159" t="s">
        <v>57</v>
      </c>
      <c r="E27" s="159" t="s">
        <v>57</v>
      </c>
      <c r="F27" s="304" t="s">
        <v>57</v>
      </c>
      <c r="G27" s="304" t="s">
        <v>57</v>
      </c>
      <c r="H27" s="304">
        <v>13.587</v>
      </c>
      <c r="I27" s="159" t="s">
        <v>57</v>
      </c>
      <c r="J27" s="159" t="s">
        <v>57</v>
      </c>
      <c r="K27" s="159" t="s">
        <v>57</v>
      </c>
      <c r="L27" s="159" t="s">
        <v>57</v>
      </c>
      <c r="M27" s="159" t="s">
        <v>57</v>
      </c>
      <c r="N27" s="159" t="s">
        <v>57</v>
      </c>
      <c r="O27" s="159" t="s">
        <v>57</v>
      </c>
      <c r="P27" s="159" t="s">
        <v>57</v>
      </c>
      <c r="Q27" s="159" t="s">
        <v>57</v>
      </c>
      <c r="R27" s="159" t="s">
        <v>57</v>
      </c>
      <c r="S27" s="159" t="s">
        <v>57</v>
      </c>
    </row>
    <row r="28" spans="2:19" s="184" customFormat="1" ht="18" customHeight="1" x14ac:dyDescent="0.2">
      <c r="B28" s="213" t="s">
        <v>324</v>
      </c>
      <c r="C28" s="165">
        <v>7.8949999999999996</v>
      </c>
      <c r="D28" s="158">
        <v>-31.190999999999999</v>
      </c>
      <c r="E28" s="159">
        <v>-32.249000000000002</v>
      </c>
      <c r="F28" s="304">
        <v>-19.824000000000002</v>
      </c>
      <c r="G28" s="304">
        <v>-19.824000000000002</v>
      </c>
      <c r="H28" s="304" t="s">
        <v>57</v>
      </c>
      <c r="I28" s="159" t="s">
        <v>57</v>
      </c>
      <c r="J28" s="159" t="s">
        <v>57</v>
      </c>
      <c r="K28" s="159" t="s">
        <v>57</v>
      </c>
      <c r="L28" s="159" t="s">
        <v>57</v>
      </c>
      <c r="M28" s="159" t="s">
        <v>57</v>
      </c>
      <c r="N28" s="159" t="s">
        <v>57</v>
      </c>
      <c r="O28" s="159" t="s">
        <v>57</v>
      </c>
      <c r="P28" s="159" t="s">
        <v>57</v>
      </c>
      <c r="Q28" s="159" t="s">
        <v>57</v>
      </c>
      <c r="R28" s="159" t="s">
        <v>57</v>
      </c>
      <c r="S28" s="159" t="s">
        <v>57</v>
      </c>
    </row>
    <row r="29" spans="2:19" s="43" customFormat="1" ht="18" customHeight="1" x14ac:dyDescent="0.2">
      <c r="B29" s="54" t="s">
        <v>325</v>
      </c>
      <c r="C29" s="165">
        <v>-9.6620000000000008</v>
      </c>
      <c r="D29" s="158">
        <v>-9.0670000000000002</v>
      </c>
      <c r="E29" s="158">
        <v>-23.257999999999999</v>
      </c>
      <c r="F29" s="413">
        <v>-2.492</v>
      </c>
      <c r="G29" s="413">
        <v>-2.492</v>
      </c>
      <c r="H29" s="413">
        <v>22.742000000000001</v>
      </c>
      <c r="I29" s="158">
        <v>-6.5679999999999996</v>
      </c>
      <c r="J29" s="158">
        <v>-2.2589999999999999</v>
      </c>
      <c r="K29" s="158">
        <v>-4.4000000000000004</v>
      </c>
      <c r="L29" s="158">
        <v>35.299999999999997</v>
      </c>
      <c r="M29" s="158">
        <v>-7.5</v>
      </c>
      <c r="N29" s="128">
        <v>0</v>
      </c>
      <c r="O29" s="128">
        <v>4.2569999999999997</v>
      </c>
      <c r="P29" s="128">
        <v>5.2</v>
      </c>
      <c r="Q29" s="128">
        <v>291.4550000000001</v>
      </c>
      <c r="R29" s="137">
        <v>1.347</v>
      </c>
      <c r="S29" s="164">
        <v>-2.169</v>
      </c>
    </row>
    <row r="30" spans="2:19" s="43" customFormat="1" ht="18" customHeight="1" x14ac:dyDescent="0.2">
      <c r="B30" s="43" t="s">
        <v>113</v>
      </c>
      <c r="C30" s="165">
        <v>8.9740000000000002</v>
      </c>
      <c r="D30" s="158">
        <v>5.9119999999999999</v>
      </c>
      <c r="E30" s="158">
        <v>12.052</v>
      </c>
      <c r="F30" s="413">
        <v>10.023999999999999</v>
      </c>
      <c r="G30" s="413">
        <v>10.023999999999999</v>
      </c>
      <c r="H30" s="413">
        <v>5.5830000000000002</v>
      </c>
      <c r="I30" s="158">
        <v>11.311999999999999</v>
      </c>
      <c r="J30" s="158">
        <v>7.4909999999999997</v>
      </c>
      <c r="K30" s="158">
        <v>7</v>
      </c>
      <c r="L30" s="158">
        <v>7.8</v>
      </c>
      <c r="M30" s="128">
        <v>9.8000000000000007</v>
      </c>
      <c r="N30" s="128">
        <v>11.3</v>
      </c>
      <c r="O30" s="128">
        <v>19.093</v>
      </c>
      <c r="P30" s="128">
        <v>27</v>
      </c>
      <c r="Q30" s="128">
        <v>42.573999999999998</v>
      </c>
      <c r="R30" s="137">
        <v>43.066000000000003</v>
      </c>
      <c r="S30" s="137">
        <v>41.494</v>
      </c>
    </row>
    <row r="31" spans="2:19" s="43" customFormat="1" ht="18" customHeight="1" x14ac:dyDescent="0.2">
      <c r="B31" s="12" t="s">
        <v>142</v>
      </c>
      <c r="C31" s="165">
        <v>1.7450000000000001</v>
      </c>
      <c r="D31" s="158">
        <v>1.8620000000000001</v>
      </c>
      <c r="E31" s="158">
        <v>1.548</v>
      </c>
      <c r="F31" s="413">
        <v>1.784</v>
      </c>
      <c r="G31" s="413">
        <v>1.784</v>
      </c>
      <c r="H31" s="413">
        <v>2.2069999999999999</v>
      </c>
      <c r="I31" s="158"/>
      <c r="J31" s="158"/>
      <c r="K31" s="158"/>
      <c r="L31" s="158"/>
      <c r="M31" s="128"/>
      <c r="N31" s="128"/>
      <c r="O31" s="128"/>
      <c r="P31" s="128"/>
      <c r="Q31" s="128"/>
      <c r="R31" s="137"/>
      <c r="S31" s="137"/>
    </row>
    <row r="32" spans="2:19" s="43" customFormat="1" ht="18" customHeight="1" x14ac:dyDescent="0.2">
      <c r="B32" s="43" t="s">
        <v>114</v>
      </c>
      <c r="C32" s="165">
        <v>6.633</v>
      </c>
      <c r="D32" s="158">
        <v>11.788</v>
      </c>
      <c r="E32" s="158">
        <v>14.795</v>
      </c>
      <c r="F32" s="413">
        <v>-14.449</v>
      </c>
      <c r="G32" s="413">
        <v>-14.449</v>
      </c>
      <c r="H32" s="413">
        <v>24.43</v>
      </c>
      <c r="I32" s="158">
        <v>9.2129999999999992</v>
      </c>
      <c r="J32" s="158">
        <v>29.396000000000001</v>
      </c>
      <c r="K32" s="158">
        <v>19.5</v>
      </c>
      <c r="L32" s="158">
        <v>26.9</v>
      </c>
      <c r="M32" s="128">
        <v>25.4</v>
      </c>
      <c r="N32" s="128">
        <v>34.1</v>
      </c>
      <c r="O32" s="128">
        <v>17.436</v>
      </c>
      <c r="P32" s="128">
        <v>24.2</v>
      </c>
      <c r="Q32" s="128">
        <v>26.210999999999999</v>
      </c>
      <c r="R32" s="137">
        <v>49.988</v>
      </c>
      <c r="S32" s="137">
        <v>39.030999999999999</v>
      </c>
    </row>
    <row r="33" spans="2:19" s="43" customFormat="1" ht="8.25" customHeight="1" x14ac:dyDescent="0.2">
      <c r="C33" s="184"/>
      <c r="D33" s="184"/>
      <c r="E33" s="158"/>
      <c r="F33" s="413"/>
      <c r="G33" s="413"/>
      <c r="H33" s="413"/>
      <c r="I33" s="158"/>
      <c r="J33" s="158"/>
      <c r="K33" s="158"/>
      <c r="L33" s="158"/>
      <c r="M33" s="128"/>
      <c r="N33" s="128"/>
      <c r="O33" s="128"/>
      <c r="P33" s="128"/>
      <c r="Q33" s="128"/>
      <c r="R33" s="137"/>
      <c r="S33" s="137"/>
    </row>
    <row r="34" spans="2:19" s="115" customFormat="1" ht="25.5" x14ac:dyDescent="0.2">
      <c r="B34" s="151" t="s">
        <v>115</v>
      </c>
      <c r="C34" s="309">
        <f>SUM(C23:C32)</f>
        <v>44.718000000000004</v>
      </c>
      <c r="D34" s="309">
        <f>SUM(D23:D32)</f>
        <v>80.042999999999992</v>
      </c>
      <c r="E34" s="309">
        <f>SUM(E23:E32)</f>
        <v>46.128999999999998</v>
      </c>
      <c r="F34" s="414">
        <f>SUM(F23:F32)</f>
        <v>-38.828000000000003</v>
      </c>
      <c r="G34" s="414">
        <v>-34.848999999999997</v>
      </c>
      <c r="H34" s="415">
        <v>44.073</v>
      </c>
      <c r="I34" s="160">
        <f>SUM(I23:I32)</f>
        <v>29.14</v>
      </c>
      <c r="J34" s="160">
        <f>SUM(J23:J32)</f>
        <v>17.135999999999981</v>
      </c>
      <c r="K34" s="160">
        <v>77.2</v>
      </c>
      <c r="L34" s="160">
        <v>99.1</v>
      </c>
      <c r="M34" s="160">
        <f>SUM(M23:M32)-0.1</f>
        <v>102.5</v>
      </c>
      <c r="N34" s="160">
        <f>SUM(N23:N32)-0.1</f>
        <v>98.300000000000011</v>
      </c>
      <c r="O34" s="160">
        <f>SUM(O23:O32)</f>
        <v>108.61000000000001</v>
      </c>
      <c r="P34" s="160">
        <f>SUM(P23:P32)</f>
        <v>101.00000000000001</v>
      </c>
      <c r="Q34" s="160">
        <f>SUM(Q23:Q32)</f>
        <v>58.98100000000008</v>
      </c>
      <c r="R34" s="160">
        <f>SUM(R23:R32)</f>
        <v>113.84399999999999</v>
      </c>
      <c r="S34" s="160">
        <f>SUM(S23:S32)</f>
        <v>170.94299999999998</v>
      </c>
    </row>
    <row r="35" spans="2:19" s="43" customFormat="1" x14ac:dyDescent="0.2">
      <c r="C35" s="184"/>
      <c r="D35" s="184"/>
      <c r="E35" s="45"/>
      <c r="F35" s="323"/>
      <c r="G35" s="323"/>
      <c r="H35" s="323"/>
      <c r="I35" s="58"/>
      <c r="J35" s="58"/>
      <c r="K35" s="58"/>
      <c r="L35" s="58"/>
      <c r="M35" s="58"/>
      <c r="N35" s="58"/>
      <c r="O35" s="58"/>
      <c r="P35" s="58"/>
      <c r="Q35" s="58"/>
      <c r="R35" s="58"/>
      <c r="S35" s="137"/>
    </row>
    <row r="36" spans="2:19" s="43" customFormat="1" ht="15.75" customHeight="1" x14ac:dyDescent="0.2">
      <c r="B36" s="43" t="s">
        <v>116</v>
      </c>
      <c r="C36" s="165">
        <v>6.335</v>
      </c>
      <c r="D36" s="158">
        <v>-36.222000000000001</v>
      </c>
      <c r="E36" s="158">
        <v>6.8860000000000001</v>
      </c>
      <c r="F36" s="413">
        <v>6.3490000000000002</v>
      </c>
      <c r="G36" s="413">
        <v>6.3490000000000002</v>
      </c>
      <c r="H36" s="413">
        <v>-1.595</v>
      </c>
      <c r="I36" s="158">
        <v>2.157</v>
      </c>
      <c r="J36" s="158">
        <v>43.677999999999997</v>
      </c>
      <c r="K36" s="158">
        <v>11.4</v>
      </c>
      <c r="L36" s="158">
        <v>29</v>
      </c>
      <c r="M36" s="158">
        <v>-15.8</v>
      </c>
      <c r="N36" s="158">
        <v>30.8</v>
      </c>
      <c r="O36" s="163">
        <v>-16.997</v>
      </c>
      <c r="P36" s="128">
        <f>8.6+5.5</f>
        <v>14.1</v>
      </c>
      <c r="Q36" s="128">
        <f>32.785-3.424</f>
        <v>29.360999999999997</v>
      </c>
      <c r="R36" s="137">
        <v>5.6740000000000004</v>
      </c>
      <c r="S36" s="137">
        <v>1.272</v>
      </c>
    </row>
    <row r="37" spans="2:19" s="43" customFormat="1" ht="15.75" customHeight="1" x14ac:dyDescent="0.2">
      <c r="B37" s="43" t="s">
        <v>117</v>
      </c>
      <c r="C37" s="165">
        <v>22.652000000000001</v>
      </c>
      <c r="D37" s="158">
        <v>-17.617999999999999</v>
      </c>
      <c r="E37" s="158">
        <v>-25.82</v>
      </c>
      <c r="F37" s="413">
        <v>36.673999999999999</v>
      </c>
      <c r="G37" s="413">
        <v>36.673999999999999</v>
      </c>
      <c r="H37" s="413">
        <v>-13.702</v>
      </c>
      <c r="I37" s="158">
        <v>24.050999999999998</v>
      </c>
      <c r="J37" s="158">
        <v>-1.3180000000000001</v>
      </c>
      <c r="K37" s="158">
        <v>-18.600000000000001</v>
      </c>
      <c r="L37" s="158">
        <v>2</v>
      </c>
      <c r="M37" s="158">
        <v>-25</v>
      </c>
      <c r="N37" s="158">
        <v>-8</v>
      </c>
      <c r="O37" s="163">
        <v>18.54</v>
      </c>
      <c r="P37" s="158">
        <v>-8.4</v>
      </c>
      <c r="Q37" s="128">
        <v>56.603000000000002</v>
      </c>
      <c r="R37" s="137">
        <v>8.2669999999999995</v>
      </c>
      <c r="S37" s="165">
        <v>-12.332000000000001</v>
      </c>
    </row>
    <row r="38" spans="2:19" s="43" customFormat="1" ht="15.75" customHeight="1" x14ac:dyDescent="0.2">
      <c r="B38" s="43" t="s">
        <v>118</v>
      </c>
      <c r="C38" s="165">
        <v>-5.7510000000000003</v>
      </c>
      <c r="D38" s="158">
        <v>-14.842000000000001</v>
      </c>
      <c r="E38" s="158">
        <v>6.27</v>
      </c>
      <c r="F38" s="413">
        <v>-0.49</v>
      </c>
      <c r="G38" s="413">
        <v>-0.49</v>
      </c>
      <c r="H38" s="413">
        <v>2.145</v>
      </c>
      <c r="I38" s="158">
        <v>-43.18</v>
      </c>
      <c r="J38" s="158">
        <v>-36.911000000000001</v>
      </c>
      <c r="K38" s="158">
        <v>27.5</v>
      </c>
      <c r="L38" s="158">
        <v>1.7</v>
      </c>
      <c r="M38" s="158">
        <v>-1.8</v>
      </c>
      <c r="N38" s="158">
        <v>-2.2000000000000002</v>
      </c>
      <c r="O38" s="163">
        <v>4.5250000000000004</v>
      </c>
      <c r="P38" s="158">
        <f>52.9-0.1</f>
        <v>52.8</v>
      </c>
      <c r="Q38" s="158">
        <f>-51.783-9.52</f>
        <v>-61.302999999999997</v>
      </c>
      <c r="R38" s="165">
        <v>-0.41499999999999998</v>
      </c>
      <c r="S38" s="165">
        <v>-34.094999999999999</v>
      </c>
    </row>
    <row r="39" spans="2:19" s="43" customFormat="1" ht="15.75" customHeight="1" x14ac:dyDescent="0.2">
      <c r="B39" s="43" t="s">
        <v>119</v>
      </c>
      <c r="C39" s="165">
        <v>7.702</v>
      </c>
      <c r="D39" s="158">
        <v>8.4670000000000005</v>
      </c>
      <c r="E39" s="158">
        <v>-6.2009999999999996</v>
      </c>
      <c r="F39" s="413">
        <v>2.0720000000000001</v>
      </c>
      <c r="G39" s="413">
        <v>2.0720000000000001</v>
      </c>
      <c r="H39" s="413">
        <v>4.5730000000000004</v>
      </c>
      <c r="I39" s="158">
        <v>38.881999999999998</v>
      </c>
      <c r="J39" s="158">
        <v>-9.2509999999999994</v>
      </c>
      <c r="K39" s="158">
        <v>-38.6</v>
      </c>
      <c r="L39" s="158">
        <v>-2.9</v>
      </c>
      <c r="M39" s="158">
        <v>-0.1</v>
      </c>
      <c r="N39" s="158">
        <v>-20.100000000000001</v>
      </c>
      <c r="O39" s="163">
        <v>-2.105</v>
      </c>
      <c r="P39" s="161">
        <v>0</v>
      </c>
      <c r="Q39" s="161">
        <v>0</v>
      </c>
      <c r="R39" s="166">
        <v>0</v>
      </c>
      <c r="S39" s="166">
        <v>0</v>
      </c>
    </row>
    <row r="40" spans="2:19" s="43" customFormat="1" ht="15.75" customHeight="1" x14ac:dyDescent="0.2">
      <c r="B40" s="43" t="s">
        <v>120</v>
      </c>
      <c r="C40" s="165">
        <v>-9.4320000000000004</v>
      </c>
      <c r="D40" s="158">
        <v>-2.1379999999999999</v>
      </c>
      <c r="E40" s="158">
        <v>-1.9670000000000001</v>
      </c>
      <c r="F40" s="413">
        <v>-2.133</v>
      </c>
      <c r="G40" s="413">
        <v>-2.133</v>
      </c>
      <c r="H40" s="413">
        <v>-1.631</v>
      </c>
      <c r="I40" s="158">
        <v>-46.99</v>
      </c>
      <c r="J40" s="158">
        <v>-32.155999999999999</v>
      </c>
      <c r="K40" s="158">
        <v>60.3</v>
      </c>
      <c r="L40" s="158">
        <v>23.9</v>
      </c>
      <c r="M40" s="158">
        <v>1.6</v>
      </c>
      <c r="N40" s="158">
        <v>17</v>
      </c>
      <c r="O40" s="163">
        <v>17.788</v>
      </c>
      <c r="P40" s="161">
        <v>0</v>
      </c>
      <c r="Q40" s="161">
        <v>0</v>
      </c>
      <c r="R40" s="166">
        <v>0</v>
      </c>
      <c r="S40" s="166">
        <v>0</v>
      </c>
    </row>
    <row r="41" spans="2:19" s="43" customFormat="1" ht="15.75" customHeight="1" x14ac:dyDescent="0.2">
      <c r="B41" s="43" t="s">
        <v>121</v>
      </c>
      <c r="C41" s="165">
        <v>-8.0500000000000007</v>
      </c>
      <c r="D41" s="158">
        <v>-4.266</v>
      </c>
      <c r="E41" s="158">
        <v>-5.3140000000000001</v>
      </c>
      <c r="F41" s="413">
        <v>-4.9050000000000002</v>
      </c>
      <c r="G41" s="413">
        <v>-4.9050000000000002</v>
      </c>
      <c r="H41" s="413">
        <v>-3.2669999999999999</v>
      </c>
      <c r="I41" s="158">
        <v>-6.0529999999999999</v>
      </c>
      <c r="J41" s="158">
        <v>-2.1059999999999999</v>
      </c>
      <c r="K41" s="158">
        <v>-2.1</v>
      </c>
      <c r="L41" s="158">
        <v>-3.3</v>
      </c>
      <c r="M41" s="158">
        <v>-5.9</v>
      </c>
      <c r="N41" s="158">
        <v>-11.9</v>
      </c>
      <c r="O41" s="163">
        <v>-18.184999999999999</v>
      </c>
      <c r="P41" s="158">
        <v>-29.1</v>
      </c>
      <c r="Q41" s="158">
        <v>-42.375999999999998</v>
      </c>
      <c r="R41" s="165">
        <v>-35.549999999999997</v>
      </c>
      <c r="S41" s="165">
        <v>-43.466000000000001</v>
      </c>
    </row>
    <row r="42" spans="2:19" s="43" customFormat="1" ht="15.75" customHeight="1" x14ac:dyDescent="0.2">
      <c r="B42" s="12" t="s">
        <v>143</v>
      </c>
      <c r="C42" s="165">
        <v>-1.7450000000000001</v>
      </c>
      <c r="D42" s="158">
        <v>-1.8620000000000001</v>
      </c>
      <c r="E42" s="158">
        <v>-1.548</v>
      </c>
      <c r="F42" s="413">
        <v>-1.784</v>
      </c>
      <c r="G42" s="413">
        <v>-1.784</v>
      </c>
      <c r="H42" s="413">
        <v>-2.2069999999999999</v>
      </c>
      <c r="I42" s="158"/>
      <c r="J42" s="158"/>
      <c r="K42" s="158"/>
      <c r="L42" s="158"/>
      <c r="M42" s="158"/>
      <c r="N42" s="158"/>
      <c r="O42" s="163"/>
      <c r="P42" s="158"/>
      <c r="Q42" s="158"/>
      <c r="R42" s="165"/>
      <c r="S42" s="165"/>
    </row>
    <row r="43" spans="2:19" s="43" customFormat="1" ht="15.75" customHeight="1" x14ac:dyDescent="0.2">
      <c r="B43" s="43" t="s">
        <v>122</v>
      </c>
      <c r="C43" s="165">
        <v>-8.7170000000000005</v>
      </c>
      <c r="D43" s="158">
        <v>-2.4049999999999998</v>
      </c>
      <c r="E43" s="158">
        <v>-1.141</v>
      </c>
      <c r="F43" s="413">
        <v>-4.8000000000000001E-2</v>
      </c>
      <c r="G43" s="413">
        <v>-4.8000000000000001E-2</v>
      </c>
      <c r="H43" s="413">
        <v>-1.8440000000000001</v>
      </c>
      <c r="I43" s="158">
        <v>4.7050000000000001</v>
      </c>
      <c r="J43" s="158">
        <v>-10.147</v>
      </c>
      <c r="K43" s="158">
        <v>-28</v>
      </c>
      <c r="L43" s="158">
        <v>-34.700000000000003</v>
      </c>
      <c r="M43" s="158">
        <v>-28.5</v>
      </c>
      <c r="N43" s="158">
        <v>-35.200000000000003</v>
      </c>
      <c r="O43" s="163">
        <v>-31.764812999999997</v>
      </c>
      <c r="P43" s="158">
        <v>-32.799999999999997</v>
      </c>
      <c r="Q43" s="158">
        <v>-29.791</v>
      </c>
      <c r="R43" s="165">
        <v>-35.552</v>
      </c>
      <c r="S43" s="165">
        <v>-29.033999999999999</v>
      </c>
    </row>
    <row r="44" spans="2:19" s="43" customFormat="1" ht="9.75" customHeight="1" x14ac:dyDescent="0.2">
      <c r="C44" s="184"/>
      <c r="D44" s="184"/>
      <c r="E44" s="45"/>
      <c r="F44" s="323"/>
      <c r="G44" s="323"/>
      <c r="H44" s="323"/>
      <c r="I44" s="58"/>
      <c r="J44" s="58"/>
      <c r="K44" s="58"/>
      <c r="L44" s="58"/>
      <c r="M44" s="58"/>
      <c r="N44" s="58"/>
      <c r="O44" s="58"/>
      <c r="P44" s="58"/>
      <c r="Q44" s="58"/>
      <c r="R44" s="58"/>
      <c r="S44" s="165"/>
    </row>
    <row r="45" spans="2:19" s="115" customFormat="1" ht="15" customHeight="1" x14ac:dyDescent="0.2">
      <c r="B45" s="114" t="s">
        <v>123</v>
      </c>
      <c r="C45" s="63">
        <f>SUM(C34:C44)</f>
        <v>47.71200000000001</v>
      </c>
      <c r="D45" s="63">
        <f>SUM(D34:D44)</f>
        <v>9.1569999999999911</v>
      </c>
      <c r="E45" s="63">
        <f>SUM(E34:E44)</f>
        <v>17.294000000000004</v>
      </c>
      <c r="F45" s="326">
        <f>SUM(F34:F44)</f>
        <v>-3.093</v>
      </c>
      <c r="G45" s="326">
        <v>0.88500000000000001</v>
      </c>
      <c r="H45" s="326">
        <v>26.545999999999999</v>
      </c>
      <c r="I45" s="63">
        <f>I34+I36+I37+I38+I39+I40+I41+I43</f>
        <v>2.7119999999999953</v>
      </c>
      <c r="J45" s="63">
        <f>J34+J36+J37+J38+J39+J40+J41+J43</f>
        <v>-31.075000000000017</v>
      </c>
      <c r="K45" s="61">
        <v>89.1</v>
      </c>
      <c r="L45" s="61">
        <f>SUM(L34:L43)</f>
        <v>114.79999999999997</v>
      </c>
      <c r="M45" s="61">
        <f>SUM(M34:M43)-0.1</f>
        <v>26.900000000000006</v>
      </c>
      <c r="N45" s="61">
        <f>SUM(N34:N43)-0.1</f>
        <v>68.600000000000009</v>
      </c>
      <c r="O45" s="61">
        <f>SUM(O34:O43)</f>
        <v>80.411187000000012</v>
      </c>
      <c r="P45" s="61">
        <f>P34+P36+P37+P38+P41+P43</f>
        <v>97.600000000000009</v>
      </c>
      <c r="Q45" s="61">
        <f>Q34+Q36+Q37+Q38+Q41+Q43</f>
        <v>11.475000000000083</v>
      </c>
      <c r="R45" s="61">
        <f>R34+R36+R37+R38+R41+R43</f>
        <v>56.267999999999994</v>
      </c>
      <c r="S45" s="61">
        <f>S34+S36+S37+S38+S41+S43</f>
        <v>53.287999999999975</v>
      </c>
    </row>
    <row r="46" spans="2:19" s="43" customFormat="1" x14ac:dyDescent="0.2">
      <c r="C46" s="184"/>
      <c r="D46" s="184"/>
      <c r="E46" s="45"/>
      <c r="F46" s="323"/>
      <c r="G46" s="323"/>
      <c r="H46" s="323"/>
      <c r="I46" s="58"/>
      <c r="J46" s="58"/>
      <c r="K46" s="58"/>
      <c r="L46" s="58"/>
      <c r="M46" s="58"/>
      <c r="N46" s="58"/>
      <c r="O46" s="58"/>
      <c r="P46" s="58"/>
      <c r="Q46" s="58"/>
      <c r="R46" s="58"/>
      <c r="S46" s="58"/>
    </row>
    <row r="47" spans="2:19" s="43" customFormat="1" x14ac:dyDescent="0.2">
      <c r="B47" s="48" t="s">
        <v>124</v>
      </c>
      <c r="C47" s="39"/>
      <c r="D47" s="187"/>
      <c r="E47" s="45"/>
      <c r="F47" s="323"/>
      <c r="G47" s="323"/>
      <c r="H47" s="323"/>
      <c r="I47" s="58"/>
      <c r="J47" s="58"/>
      <c r="K47" s="58"/>
      <c r="L47" s="58"/>
      <c r="M47" s="58"/>
      <c r="N47" s="58"/>
      <c r="O47" s="58"/>
      <c r="P47" s="58"/>
      <c r="Q47" s="58"/>
      <c r="R47" s="58"/>
      <c r="S47" s="58"/>
    </row>
    <row r="48" spans="2:19" s="43" customFormat="1" ht="15.75" customHeight="1" x14ac:dyDescent="0.2">
      <c r="B48" s="152" t="s">
        <v>125</v>
      </c>
      <c r="C48" s="165">
        <v>-10.526999999999999</v>
      </c>
      <c r="D48" s="158">
        <v>-12.733000000000001</v>
      </c>
      <c r="E48" s="158">
        <v>-13.215999999999999</v>
      </c>
      <c r="F48" s="413">
        <v>-13.444000000000001</v>
      </c>
      <c r="G48" s="413">
        <v>-13.444000000000001</v>
      </c>
      <c r="H48" s="413">
        <v>-23.242000000000001</v>
      </c>
      <c r="I48" s="158">
        <v>-22.797000000000001</v>
      </c>
      <c r="J48" s="158">
        <v>-26.777999999999999</v>
      </c>
      <c r="K48" s="158">
        <v>-30.4</v>
      </c>
      <c r="L48" s="158">
        <v>-32</v>
      </c>
      <c r="M48" s="158">
        <f>-28.3+1</f>
        <v>-27.3</v>
      </c>
      <c r="N48" s="158">
        <v>-27.6</v>
      </c>
      <c r="O48" s="158">
        <v>-26.161000000000001</v>
      </c>
      <c r="P48" s="158">
        <v>-26.7</v>
      </c>
      <c r="Q48" s="158">
        <v>-31.332000000000001</v>
      </c>
      <c r="R48" s="165">
        <v>-54.363</v>
      </c>
      <c r="S48" s="165">
        <v>-36.69</v>
      </c>
    </row>
    <row r="49" spans="2:19" s="43" customFormat="1" ht="15.75" customHeight="1" x14ac:dyDescent="0.2">
      <c r="B49" s="12" t="s">
        <v>144</v>
      </c>
      <c r="C49" s="165">
        <v>10.513</v>
      </c>
      <c r="D49" s="158">
        <v>0.19600000000000001</v>
      </c>
      <c r="E49" s="158">
        <v>10.192</v>
      </c>
      <c r="F49" s="413">
        <v>2.8370000000000002</v>
      </c>
      <c r="G49" s="413">
        <v>2.8370000000000002</v>
      </c>
      <c r="H49" s="413">
        <v>1.117</v>
      </c>
      <c r="I49" s="158">
        <v>2.3239999999999998</v>
      </c>
      <c r="J49" s="158">
        <v>1.1819999999999999</v>
      </c>
      <c r="K49" s="167" t="s">
        <v>57</v>
      </c>
      <c r="L49" s="162" t="s">
        <v>57</v>
      </c>
      <c r="M49" s="162" t="s">
        <v>57</v>
      </c>
      <c r="N49" s="158" t="s">
        <v>57</v>
      </c>
      <c r="O49" s="158">
        <v>-58.36</v>
      </c>
      <c r="P49" s="162" t="s">
        <v>57</v>
      </c>
      <c r="Q49" s="162" t="s">
        <v>57</v>
      </c>
      <c r="R49" s="165">
        <v>-24.963000000000001</v>
      </c>
      <c r="S49" s="162" t="s">
        <v>57</v>
      </c>
    </row>
    <row r="50" spans="2:19" s="43" customFormat="1" ht="15.75" customHeight="1" x14ac:dyDescent="0.2">
      <c r="B50" s="54" t="s">
        <v>126</v>
      </c>
      <c r="C50" s="165">
        <v>-5.9480000000000004</v>
      </c>
      <c r="D50" s="162"/>
      <c r="E50" s="162" t="s">
        <v>57</v>
      </c>
      <c r="F50" s="416" t="s">
        <v>57</v>
      </c>
      <c r="G50" s="416" t="s">
        <v>57</v>
      </c>
      <c r="H50" s="416" t="s">
        <v>57</v>
      </c>
      <c r="I50" s="162" t="s">
        <v>57</v>
      </c>
      <c r="J50" s="162" t="s">
        <v>57</v>
      </c>
      <c r="K50" s="158">
        <v>-2.5</v>
      </c>
      <c r="L50" s="158">
        <v>-2.9</v>
      </c>
      <c r="M50" s="158">
        <v>-1.6</v>
      </c>
      <c r="N50" s="158">
        <v>-4.0999999999999996</v>
      </c>
      <c r="O50" s="158">
        <v>-12.253</v>
      </c>
      <c r="P50" s="158">
        <v>5.8</v>
      </c>
      <c r="Q50" s="158">
        <v>12.175000000000001</v>
      </c>
      <c r="R50" s="162" t="s">
        <v>57</v>
      </c>
      <c r="S50" s="162" t="s">
        <v>57</v>
      </c>
    </row>
    <row r="51" spans="2:19" s="43" customFormat="1" ht="15.75" customHeight="1" x14ac:dyDescent="0.2">
      <c r="B51" s="54" t="s">
        <v>322</v>
      </c>
      <c r="C51" s="416" t="s">
        <v>57</v>
      </c>
      <c r="D51" s="162"/>
      <c r="E51" s="162" t="s">
        <v>57</v>
      </c>
      <c r="F51" s="413">
        <v>-111.77800000000001</v>
      </c>
      <c r="G51" s="413">
        <v>-111.77800000000001</v>
      </c>
      <c r="H51" s="413">
        <v>7.2389999999999999</v>
      </c>
      <c r="I51" s="162" t="s">
        <v>57</v>
      </c>
      <c r="J51" s="162" t="s">
        <v>57</v>
      </c>
      <c r="K51" s="162" t="s">
        <v>57</v>
      </c>
      <c r="L51" s="158">
        <v>8.6</v>
      </c>
      <c r="M51" s="158">
        <v>0.2</v>
      </c>
      <c r="N51" s="158">
        <v>0</v>
      </c>
      <c r="O51" s="158">
        <v>-1.2999999999999999E-2</v>
      </c>
      <c r="P51" s="162" t="s">
        <v>57</v>
      </c>
      <c r="Q51" s="158">
        <v>0.128</v>
      </c>
      <c r="R51" s="165">
        <v>0.152</v>
      </c>
      <c r="S51" s="165">
        <v>-8.5000000000000006E-2</v>
      </c>
    </row>
    <row r="52" spans="2:19" s="43" customFormat="1" ht="15.75" customHeight="1" x14ac:dyDescent="0.2">
      <c r="B52" s="54" t="s">
        <v>127</v>
      </c>
      <c r="C52" s="165">
        <v>-2.6859999999999999</v>
      </c>
      <c r="D52" s="158">
        <v>-3.1309999999999998</v>
      </c>
      <c r="E52" s="158">
        <v>-6.7359999999999998</v>
      </c>
      <c r="F52" s="413">
        <v>-6.8380000000000001</v>
      </c>
      <c r="G52" s="413">
        <v>-10.818</v>
      </c>
      <c r="H52" s="413">
        <v>-8.5129999999999999</v>
      </c>
      <c r="I52" s="158">
        <v>-7.8760000000000003</v>
      </c>
      <c r="J52" s="158">
        <v>-13.417</v>
      </c>
      <c r="K52" s="158">
        <v>-11.4</v>
      </c>
      <c r="L52" s="158">
        <v>-13.6</v>
      </c>
      <c r="M52" s="158">
        <v>-10.6</v>
      </c>
      <c r="N52" s="158">
        <v>-8.5</v>
      </c>
      <c r="O52" s="158">
        <v>-2.6160000000000001</v>
      </c>
      <c r="P52" s="158">
        <v>-2.4</v>
      </c>
      <c r="Q52" s="158">
        <v>-3.2450000000000001</v>
      </c>
      <c r="R52" s="165">
        <v>-9.19</v>
      </c>
      <c r="S52" s="165">
        <v>-7.0519999999999996</v>
      </c>
    </row>
    <row r="53" spans="2:19" s="43" customFormat="1" ht="6.75" customHeight="1" x14ac:dyDescent="0.2">
      <c r="B53" s="54"/>
      <c r="C53" s="184"/>
      <c r="D53" s="189"/>
      <c r="E53" s="158"/>
      <c r="F53" s="413"/>
      <c r="G53" s="413"/>
      <c r="H53" s="413"/>
      <c r="I53" s="158"/>
      <c r="J53" s="158"/>
      <c r="K53" s="158"/>
      <c r="L53" s="158"/>
      <c r="M53" s="158"/>
      <c r="N53" s="158"/>
      <c r="O53" s="158"/>
      <c r="P53" s="158"/>
      <c r="Q53" s="158"/>
      <c r="R53" s="165"/>
      <c r="S53" s="165"/>
    </row>
    <row r="54" spans="2:19" s="115" customFormat="1" ht="15" customHeight="1" x14ac:dyDescent="0.2">
      <c r="B54" s="114" t="s">
        <v>128</v>
      </c>
      <c r="C54" s="63">
        <f t="shared" ref="C54" si="0">SUM(C48:C52)</f>
        <v>-8.6479999999999997</v>
      </c>
      <c r="D54" s="63">
        <f t="shared" ref="D54:J54" si="1">SUM(D48:D52)</f>
        <v>-15.668000000000001</v>
      </c>
      <c r="E54" s="63">
        <f t="shared" si="1"/>
        <v>-9.759999999999998</v>
      </c>
      <c r="F54" s="326">
        <f t="shared" si="1"/>
        <v>-129.22300000000001</v>
      </c>
      <c r="G54" s="326">
        <f t="shared" si="1"/>
        <v>-133.203</v>
      </c>
      <c r="H54" s="326">
        <f t="shared" si="1"/>
        <v>-23.399000000000001</v>
      </c>
      <c r="I54" s="63">
        <f t="shared" si="1"/>
        <v>-28.349</v>
      </c>
      <c r="J54" s="63">
        <f t="shared" si="1"/>
        <v>-39.012999999999998</v>
      </c>
      <c r="K54" s="63">
        <v>-44.3</v>
      </c>
      <c r="L54" s="63">
        <v>-40</v>
      </c>
      <c r="M54" s="63">
        <f t="shared" ref="M54:S54" si="2">SUM(M48:M52)</f>
        <v>-39.300000000000004</v>
      </c>
      <c r="N54" s="63">
        <f t="shared" si="2"/>
        <v>-40.200000000000003</v>
      </c>
      <c r="O54" s="63">
        <f t="shared" si="2"/>
        <v>-99.403000000000006</v>
      </c>
      <c r="P54" s="63">
        <f t="shared" si="2"/>
        <v>-23.299999999999997</v>
      </c>
      <c r="Q54" s="63">
        <f t="shared" si="2"/>
        <v>-22.274000000000001</v>
      </c>
      <c r="R54" s="63">
        <f t="shared" si="2"/>
        <v>-88.36399999999999</v>
      </c>
      <c r="S54" s="63">
        <f t="shared" si="2"/>
        <v>-43.826999999999998</v>
      </c>
    </row>
    <row r="55" spans="2:19" s="43" customFormat="1" x14ac:dyDescent="0.2">
      <c r="C55" s="184"/>
      <c r="D55" s="184"/>
      <c r="E55" s="45"/>
      <c r="F55" s="323"/>
      <c r="G55" s="323"/>
      <c r="H55" s="323"/>
      <c r="I55" s="58"/>
      <c r="J55" s="58"/>
      <c r="K55" s="58"/>
      <c r="L55" s="58"/>
      <c r="M55" s="58"/>
      <c r="N55" s="58"/>
      <c r="O55" s="58"/>
      <c r="P55" s="58"/>
      <c r="Q55" s="58"/>
      <c r="R55" s="58"/>
      <c r="S55" s="58"/>
    </row>
    <row r="56" spans="2:19" s="43" customFormat="1" x14ac:dyDescent="0.2">
      <c r="B56" s="48" t="s">
        <v>129</v>
      </c>
      <c r="C56" s="39"/>
      <c r="D56" s="187"/>
      <c r="E56" s="53"/>
      <c r="F56" s="323"/>
      <c r="G56" s="323"/>
      <c r="H56" s="323"/>
      <c r="I56" s="65"/>
      <c r="J56" s="65"/>
      <c r="K56" s="65"/>
      <c r="L56" s="65"/>
      <c r="M56" s="65"/>
      <c r="N56" s="65"/>
      <c r="O56" s="65"/>
      <c r="P56" s="65"/>
      <c r="Q56" s="58"/>
      <c r="R56" s="58"/>
      <c r="S56" s="58"/>
    </row>
    <row r="57" spans="2:19" s="153" customFormat="1" ht="15" customHeight="1" x14ac:dyDescent="0.2">
      <c r="B57" s="153" t="s">
        <v>130</v>
      </c>
      <c r="C57" s="416" t="s">
        <v>57</v>
      </c>
      <c r="D57" s="168">
        <v>147.001</v>
      </c>
      <c r="E57" s="162" t="s">
        <v>57</v>
      </c>
      <c r="F57" s="417">
        <v>198.46700000000001</v>
      </c>
      <c r="G57" s="417">
        <v>198.46700000000001</v>
      </c>
      <c r="H57" s="417">
        <v>83.79</v>
      </c>
      <c r="I57" s="168">
        <v>60</v>
      </c>
      <c r="J57" s="310" t="s">
        <v>57</v>
      </c>
      <c r="K57" s="168">
        <v>5</v>
      </c>
      <c r="L57" s="310">
        <v>0</v>
      </c>
      <c r="M57" s="168">
        <v>200</v>
      </c>
      <c r="N57" s="168">
        <v>125.4</v>
      </c>
      <c r="O57" s="170">
        <v>29.21</v>
      </c>
      <c r="P57" s="170">
        <v>0.6</v>
      </c>
      <c r="Q57" s="170">
        <v>34.5</v>
      </c>
      <c r="R57" s="171">
        <v>94.313000000000002</v>
      </c>
      <c r="S57" s="171">
        <v>5.2789999999999999</v>
      </c>
    </row>
    <row r="58" spans="2:19" s="153" customFormat="1" ht="15" customHeight="1" x14ac:dyDescent="0.2">
      <c r="B58" s="153" t="s">
        <v>131</v>
      </c>
      <c r="C58" s="172">
        <v>-30</v>
      </c>
      <c r="D58" s="168">
        <v>-153</v>
      </c>
      <c r="E58" s="168">
        <v>-119.602</v>
      </c>
      <c r="F58" s="417">
        <v>-18.84</v>
      </c>
      <c r="G58" s="417">
        <v>-18.84</v>
      </c>
      <c r="H58" s="417">
        <v>-210</v>
      </c>
      <c r="I58" s="168">
        <v>-10</v>
      </c>
      <c r="J58" s="310" t="s">
        <v>57</v>
      </c>
      <c r="K58" s="168">
        <v>0</v>
      </c>
      <c r="L58" s="168">
        <v>-71.3</v>
      </c>
      <c r="M58" s="168">
        <v>-226.5</v>
      </c>
      <c r="N58" s="168">
        <v>-134.5</v>
      </c>
      <c r="O58" s="168">
        <v>-81.756</v>
      </c>
      <c r="P58" s="168">
        <v>-242.8</v>
      </c>
      <c r="Q58" s="168">
        <f>-15.948</f>
        <v>-15.948</v>
      </c>
      <c r="R58" s="172">
        <v>-37.503999999999998</v>
      </c>
      <c r="S58" s="172">
        <v>-49.304000000000002</v>
      </c>
    </row>
    <row r="59" spans="2:19" s="153" customFormat="1" ht="15" customHeight="1" x14ac:dyDescent="0.2">
      <c r="B59" s="18" t="s">
        <v>323</v>
      </c>
      <c r="C59" s="172">
        <v>-9.9559999999999995</v>
      </c>
      <c r="D59" s="168">
        <v>-10.026</v>
      </c>
      <c r="E59" s="168">
        <v>-10.263</v>
      </c>
      <c r="F59" s="417">
        <v>-10.734999999999999</v>
      </c>
      <c r="G59" s="417">
        <v>-10.734999999999999</v>
      </c>
      <c r="H59" s="417">
        <v>-16.933</v>
      </c>
      <c r="I59" s="310" t="s">
        <v>57</v>
      </c>
      <c r="J59" s="310" t="s">
        <v>57</v>
      </c>
      <c r="K59" s="310" t="s">
        <v>57</v>
      </c>
      <c r="L59" s="310" t="s">
        <v>57</v>
      </c>
      <c r="M59" s="310" t="s">
        <v>57</v>
      </c>
      <c r="N59" s="310" t="s">
        <v>57</v>
      </c>
      <c r="O59" s="310" t="s">
        <v>57</v>
      </c>
      <c r="P59" s="310" t="s">
        <v>57</v>
      </c>
      <c r="Q59" s="310" t="s">
        <v>57</v>
      </c>
      <c r="R59" s="310" t="s">
        <v>57</v>
      </c>
      <c r="S59" s="310" t="s">
        <v>57</v>
      </c>
    </row>
    <row r="60" spans="2:19" s="153" customFormat="1" ht="15" customHeight="1" x14ac:dyDescent="0.2">
      <c r="B60" s="153" t="s">
        <v>132</v>
      </c>
      <c r="C60" s="172">
        <v>3.8999999999999998E-3</v>
      </c>
      <c r="D60" s="168">
        <v>8.8999999999999999E-3</v>
      </c>
      <c r="E60" s="310">
        <v>133.05699999999999</v>
      </c>
      <c r="F60" s="418" t="s">
        <v>57</v>
      </c>
      <c r="G60" s="418" t="s">
        <v>57</v>
      </c>
      <c r="H60" s="417">
        <v>17.489999999999998</v>
      </c>
      <c r="I60" s="168">
        <v>128.57</v>
      </c>
      <c r="J60" s="310" t="s">
        <v>57</v>
      </c>
      <c r="K60" s="168">
        <v>0.2</v>
      </c>
      <c r="L60" s="168">
        <v>0.6</v>
      </c>
      <c r="M60" s="168">
        <v>3.8</v>
      </c>
      <c r="N60" s="168">
        <v>3.7</v>
      </c>
      <c r="O60" s="168">
        <v>44.262</v>
      </c>
      <c r="P60" s="168">
        <v>260.60000000000002</v>
      </c>
      <c r="Q60" s="173" t="s">
        <v>57</v>
      </c>
      <c r="R60" s="173" t="s">
        <v>57</v>
      </c>
      <c r="S60" s="171">
        <v>6.2430000000000003</v>
      </c>
    </row>
    <row r="61" spans="2:19" s="153" customFormat="1" ht="15" customHeight="1" x14ac:dyDescent="0.2">
      <c r="B61" s="153" t="s">
        <v>133</v>
      </c>
      <c r="C61" s="172">
        <v>-0.55200000000000005</v>
      </c>
      <c r="D61" s="310">
        <v>-0.875</v>
      </c>
      <c r="E61" s="310">
        <v>-1.121</v>
      </c>
      <c r="F61" s="419" t="s">
        <v>57</v>
      </c>
      <c r="G61" s="419" t="s">
        <v>57</v>
      </c>
      <c r="H61" s="420" t="s">
        <v>57</v>
      </c>
      <c r="I61" s="168" t="s">
        <v>57</v>
      </c>
      <c r="J61" s="310" t="s">
        <v>57</v>
      </c>
      <c r="K61" s="169">
        <v>0</v>
      </c>
      <c r="L61" s="169">
        <v>0</v>
      </c>
      <c r="M61" s="169">
        <v>0</v>
      </c>
      <c r="N61" s="168">
        <v>0</v>
      </c>
      <c r="O61" s="168">
        <v>-2.6579999999999999</v>
      </c>
      <c r="P61" s="168">
        <v>-2.1</v>
      </c>
      <c r="Q61" s="168">
        <v>-3.1429999999999998</v>
      </c>
      <c r="R61" s="172">
        <v>-26.84</v>
      </c>
      <c r="S61" s="172">
        <v>-7.92</v>
      </c>
    </row>
    <row r="62" spans="2:19" s="153" customFormat="1" ht="15" customHeight="1" x14ac:dyDescent="0.2">
      <c r="B62" s="114" t="s">
        <v>134</v>
      </c>
      <c r="C62" s="63">
        <f>SUM(C57:C61)</f>
        <v>-40.504100000000001</v>
      </c>
      <c r="D62" s="63">
        <f>SUM(D57:D61)</f>
        <v>-16.891099999999994</v>
      </c>
      <c r="E62" s="63">
        <f>SUM(E57:E61)</f>
        <v>2.0709999999999789</v>
      </c>
      <c r="F62" s="326">
        <v>168.892</v>
      </c>
      <c r="G62" s="326">
        <v>168.892</v>
      </c>
      <c r="H62" s="326">
        <f>SUM(H57:H61)</f>
        <v>-125.65300000000001</v>
      </c>
      <c r="I62" s="63">
        <f>SUM(I57:I61)</f>
        <v>178.57</v>
      </c>
      <c r="J62" s="311">
        <f>SUM(J57:J61)</f>
        <v>0</v>
      </c>
      <c r="K62" s="63">
        <v>5.2</v>
      </c>
      <c r="L62" s="63">
        <v>-70.599999999999994</v>
      </c>
      <c r="M62" s="63">
        <f t="shared" ref="M62:S62" si="3">SUM(M57:M61)</f>
        <v>-22.7</v>
      </c>
      <c r="N62" s="63">
        <f t="shared" si="3"/>
        <v>-5.3999999999999941</v>
      </c>
      <c r="O62" s="63">
        <f t="shared" si="3"/>
        <v>-10.941999999999998</v>
      </c>
      <c r="P62" s="63">
        <f t="shared" si="3"/>
        <v>16.300000000000004</v>
      </c>
      <c r="Q62" s="63">
        <f t="shared" si="3"/>
        <v>15.408999999999999</v>
      </c>
      <c r="R62" s="63">
        <f t="shared" si="3"/>
        <v>29.969000000000005</v>
      </c>
      <c r="S62" s="63">
        <f t="shared" si="3"/>
        <v>-45.702000000000005</v>
      </c>
    </row>
    <row r="63" spans="2:19" s="43" customFormat="1" x14ac:dyDescent="0.2">
      <c r="C63" s="184"/>
      <c r="D63" s="184"/>
      <c r="E63" s="45"/>
      <c r="F63" s="323"/>
      <c r="G63" s="323"/>
      <c r="H63" s="323"/>
      <c r="I63" s="58"/>
      <c r="J63" s="58"/>
      <c r="K63" s="58"/>
      <c r="L63" s="58"/>
      <c r="M63" s="58"/>
      <c r="N63" s="58"/>
      <c r="O63" s="58"/>
      <c r="P63" s="58"/>
      <c r="Q63" s="58"/>
      <c r="R63" s="58"/>
      <c r="S63" s="58"/>
    </row>
    <row r="64" spans="2:19" s="153" customFormat="1" ht="15" customHeight="1" x14ac:dyDescent="0.2">
      <c r="B64" s="114" t="s">
        <v>135</v>
      </c>
      <c r="C64" s="63">
        <v>-1.405</v>
      </c>
      <c r="D64" s="63">
        <v>-23.324000000000002</v>
      </c>
      <c r="E64" s="63">
        <f>E45+E54+E62</f>
        <v>9.6049999999999844</v>
      </c>
      <c r="F64" s="326">
        <f>F45+F54+F62</f>
        <v>36.575999999999993</v>
      </c>
      <c r="G64" s="326">
        <v>36.573999999999998</v>
      </c>
      <c r="H64" s="326">
        <v>-122.50700000000001</v>
      </c>
      <c r="I64" s="63">
        <f>I45+I54+I62</f>
        <v>152.93299999999999</v>
      </c>
      <c r="J64" s="63">
        <f>J45+J54+J62</f>
        <v>-70.088000000000022</v>
      </c>
      <c r="K64" s="63">
        <v>49.9</v>
      </c>
      <c r="L64" s="63">
        <v>4.0999999999999996</v>
      </c>
      <c r="M64" s="63">
        <f>M45+M54+M62</f>
        <v>-35.099999999999994</v>
      </c>
      <c r="N64" s="63">
        <f>N45+N54+N62</f>
        <v>23.000000000000011</v>
      </c>
      <c r="O64" s="63">
        <v>-29.933812999999994</v>
      </c>
      <c r="P64" s="63">
        <f>P45+P54+P62</f>
        <v>90.600000000000023</v>
      </c>
      <c r="Q64" s="63">
        <f>Q45+Q54+Q62</f>
        <v>4.6100000000000811</v>
      </c>
      <c r="R64" s="63">
        <f>R45+R54+R62</f>
        <v>-2.1269999999999918</v>
      </c>
      <c r="S64" s="63">
        <f>S45+S54+S62</f>
        <v>-36.241000000000028</v>
      </c>
    </row>
    <row r="65" spans="1:19" s="43" customFormat="1" x14ac:dyDescent="0.2">
      <c r="C65" s="184"/>
      <c r="D65" s="184"/>
      <c r="E65" s="45"/>
      <c r="F65" s="323"/>
      <c r="G65" s="323"/>
      <c r="H65" s="323"/>
      <c r="I65" s="58"/>
      <c r="J65" s="58"/>
      <c r="K65" s="58"/>
      <c r="L65" s="58"/>
      <c r="M65" s="58"/>
      <c r="N65" s="58"/>
      <c r="O65" s="58"/>
      <c r="P65" s="58"/>
      <c r="Q65" s="58"/>
      <c r="R65" s="58"/>
      <c r="S65" s="58"/>
    </row>
    <row r="66" spans="1:19" s="43" customFormat="1" x14ac:dyDescent="0.2">
      <c r="B66" s="114" t="s">
        <v>136</v>
      </c>
      <c r="C66" s="63">
        <v>-1.407</v>
      </c>
      <c r="D66" s="63">
        <v>2.032</v>
      </c>
      <c r="E66" s="63">
        <v>3.4279999999999999</v>
      </c>
      <c r="F66" s="326">
        <v>-4.5220000000000002</v>
      </c>
      <c r="G66" s="326">
        <v>-4.5220000000000002</v>
      </c>
      <c r="H66" s="326">
        <v>1.454</v>
      </c>
      <c r="I66" s="63">
        <v>1.1919999999999999</v>
      </c>
      <c r="J66" s="63">
        <v>-8.0950000000000006</v>
      </c>
      <c r="K66" s="63">
        <v>1.5</v>
      </c>
      <c r="L66" s="63">
        <v>4</v>
      </c>
      <c r="M66" s="63">
        <v>4.9000000000000004</v>
      </c>
      <c r="N66" s="63">
        <v>1.1000000000000001</v>
      </c>
      <c r="O66" s="63">
        <v>-0.97099999999999997</v>
      </c>
      <c r="P66" s="63">
        <v>2.8</v>
      </c>
      <c r="Q66" s="63">
        <v>-5.0880000000000001</v>
      </c>
      <c r="R66" s="61">
        <v>10.154</v>
      </c>
      <c r="S66" s="63">
        <v>0.78300000000000003</v>
      </c>
    </row>
    <row r="67" spans="1:19" s="153" customFormat="1" x14ac:dyDescent="0.2">
      <c r="B67" s="43"/>
      <c r="C67" s="184"/>
      <c r="D67" s="184"/>
      <c r="E67" s="45"/>
      <c r="F67" s="323"/>
      <c r="G67" s="323"/>
      <c r="H67" s="323"/>
      <c r="I67" s="58"/>
      <c r="J67" s="58"/>
      <c r="K67" s="58"/>
      <c r="L67" s="58"/>
      <c r="M67" s="58"/>
      <c r="N67" s="58"/>
      <c r="O67" s="58"/>
      <c r="P67" s="58"/>
      <c r="Q67" s="58"/>
      <c r="R67" s="58"/>
      <c r="S67" s="58"/>
    </row>
    <row r="68" spans="1:19" s="43" customFormat="1" x14ac:dyDescent="0.2">
      <c r="C68" s="184"/>
      <c r="D68" s="184"/>
      <c r="E68" s="45"/>
      <c r="F68" s="323"/>
      <c r="G68" s="323"/>
      <c r="H68" s="323"/>
      <c r="I68" s="58"/>
      <c r="J68" s="58"/>
      <c r="K68" s="58"/>
      <c r="L68" s="58"/>
      <c r="M68" s="58"/>
      <c r="N68" s="58"/>
      <c r="O68" s="58"/>
      <c r="P68" s="58"/>
      <c r="Q68" s="58"/>
      <c r="R68" s="58"/>
      <c r="S68" s="58"/>
    </row>
    <row r="69" spans="1:19" s="43" customFormat="1" ht="25.5" x14ac:dyDescent="0.2">
      <c r="B69" s="117" t="s">
        <v>137</v>
      </c>
      <c r="C69" s="477">
        <v>74.897999999999996</v>
      </c>
      <c r="D69" s="157">
        <v>77.709999999999994</v>
      </c>
      <c r="E69" s="157">
        <f>E20+E64+E66</f>
        <v>98.998999999999981</v>
      </c>
      <c r="F69" s="411">
        <f>F20+F64+F66</f>
        <v>85.96899999999998</v>
      </c>
      <c r="G69" s="411">
        <v>85.965999999999994</v>
      </c>
      <c r="H69" s="411">
        <v>53.914999999999999</v>
      </c>
      <c r="I69" s="157">
        <f>I20+I64+I66</f>
        <v>174.96699999999998</v>
      </c>
      <c r="J69" s="157">
        <f>J20+J64+J66</f>
        <v>20.841999999999985</v>
      </c>
      <c r="K69" s="157">
        <v>99</v>
      </c>
      <c r="L69" s="157">
        <f t="shared" ref="L69:S69" si="4">L20+L64+L66</f>
        <v>47.6</v>
      </c>
      <c r="M69" s="157">
        <f t="shared" si="4"/>
        <v>39.500000000000007</v>
      </c>
      <c r="N69" s="157">
        <f t="shared" si="4"/>
        <v>69.7</v>
      </c>
      <c r="O69" s="157">
        <f t="shared" si="4"/>
        <v>45.623187000000016</v>
      </c>
      <c r="P69" s="157">
        <f t="shared" si="4"/>
        <v>72.500000000000014</v>
      </c>
      <c r="Q69" s="157">
        <f t="shared" si="4"/>
        <v>-20.918999999999912</v>
      </c>
      <c r="R69" s="157">
        <f t="shared" si="4"/>
        <v>-20.440999999999992</v>
      </c>
      <c r="S69" s="157">
        <f t="shared" si="4"/>
        <v>-28.469000000000026</v>
      </c>
    </row>
    <row r="72" spans="1:19" x14ac:dyDescent="0.2">
      <c r="A72" s="20" t="s">
        <v>344</v>
      </c>
      <c r="B72" s="451" t="s">
        <v>351</v>
      </c>
      <c r="C72" s="451"/>
      <c r="D72" s="451"/>
      <c r="E72" s="451"/>
      <c r="F72" s="451"/>
      <c r="G72" s="451"/>
      <c r="H72" s="452"/>
      <c r="I72" s="452"/>
      <c r="J72" s="452"/>
      <c r="K72" s="452"/>
      <c r="L72" s="452"/>
      <c r="M72" s="453"/>
      <c r="N72" s="453"/>
      <c r="O72" s="453"/>
    </row>
  </sheetData>
  <sortState xmlns:xlrd2="http://schemas.microsoft.com/office/spreadsheetml/2017/richdata2" ref="B6:S12">
    <sortCondition sortBy="fontColor" ref="B7"/>
  </sortState>
  <mergeCells count="1">
    <mergeCell ref="B72:O72"/>
  </mergeCells>
  <printOptions horizontalCentered="1"/>
  <pageMargins left="0.74803149606299213" right="0.74803149606299213" top="0.98425196850393704" bottom="0.98425196850393704" header="0.51181102362204722" footer="0.51181102362204722"/>
  <pageSetup paperSize="8" scale="48" orientation="landscape" r:id="rId1"/>
  <headerFooter alignWithMargins="0"/>
  <ignoredErrors>
    <ignoredError sqref="N3:S3 H3 H17:S17" numberStoredAsText="1"/>
    <ignoredError sqref="D1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D2F7-BDD3-4B51-A648-4AB50DDA95E3}">
  <sheetPr>
    <pageSetUpPr fitToPage="1"/>
  </sheetPr>
  <dimension ref="B1:S71"/>
  <sheetViews>
    <sheetView showGridLines="0" zoomScaleNormal="100" zoomScaleSheetLayoutView="115" workbookViewId="0">
      <selection activeCell="B18" sqref="B18"/>
    </sheetView>
  </sheetViews>
  <sheetFormatPr defaultRowHeight="12.75" x14ac:dyDescent="0.2"/>
  <cols>
    <col min="1" max="1" width="3.5703125" customWidth="1"/>
    <col min="2" max="2" width="70.28515625" customWidth="1"/>
    <col min="3" max="5" width="16.42578125" customWidth="1"/>
    <col min="6" max="7" width="16.42578125" style="74" customWidth="1"/>
    <col min="8" max="11" width="16.28515625" style="74" customWidth="1"/>
    <col min="12" max="18" width="16.42578125" style="74" customWidth="1"/>
  </cols>
  <sheetData>
    <row r="1" spans="2:18" ht="26.25" x14ac:dyDescent="0.4">
      <c r="B1" s="2" t="s">
        <v>138</v>
      </c>
      <c r="C1" s="2"/>
      <c r="D1" s="2"/>
      <c r="E1" s="2"/>
      <c r="F1" s="80"/>
      <c r="G1" s="80"/>
      <c r="H1" s="80"/>
      <c r="I1" s="80"/>
      <c r="J1" s="80"/>
      <c r="K1" s="80"/>
      <c r="L1" s="80"/>
      <c r="M1" s="80"/>
      <c r="N1" s="80"/>
      <c r="O1" s="80"/>
      <c r="P1" s="80"/>
      <c r="Q1" s="80"/>
      <c r="R1" s="80"/>
    </row>
    <row r="2" spans="2:18" ht="13.5" thickBot="1" x14ac:dyDescent="0.25"/>
    <row r="3" spans="2:18" s="9" customFormat="1" ht="25.5" customHeight="1" thickBot="1" x14ac:dyDescent="0.25">
      <c r="B3" s="198" t="s">
        <v>44</v>
      </c>
      <c r="C3" s="202" t="s">
        <v>365</v>
      </c>
      <c r="D3" s="202" t="s">
        <v>354</v>
      </c>
      <c r="E3" s="202" t="s">
        <v>334</v>
      </c>
      <c r="F3" s="202" t="s">
        <v>147</v>
      </c>
      <c r="G3" s="202" t="s">
        <v>171</v>
      </c>
      <c r="H3" s="202" t="s">
        <v>148</v>
      </c>
      <c r="I3" s="203" t="s">
        <v>187</v>
      </c>
      <c r="J3" s="203" t="s">
        <v>149</v>
      </c>
      <c r="K3" s="203" t="s">
        <v>150</v>
      </c>
      <c r="L3" s="203" t="s">
        <v>151</v>
      </c>
      <c r="M3" s="203" t="s">
        <v>152</v>
      </c>
      <c r="N3" s="203" t="s">
        <v>153</v>
      </c>
      <c r="O3" s="203" t="s">
        <v>154</v>
      </c>
      <c r="P3" s="203" t="s">
        <v>155</v>
      </c>
      <c r="Q3" s="203" t="s">
        <v>156</v>
      </c>
      <c r="R3" s="203" t="s">
        <v>157</v>
      </c>
    </row>
    <row r="4" spans="2:18" ht="8.25" customHeight="1" x14ac:dyDescent="0.25">
      <c r="B4" s="4"/>
      <c r="C4" s="4"/>
      <c r="D4" s="4"/>
      <c r="E4" s="4"/>
      <c r="F4" s="204"/>
      <c r="G4" s="204"/>
      <c r="H4" s="204"/>
      <c r="R4" s="91"/>
    </row>
    <row r="5" spans="2:18" s="213" customFormat="1" x14ac:dyDescent="0.2">
      <c r="B5" s="362" t="s">
        <v>107</v>
      </c>
      <c r="C5" s="99">
        <v>35.799999999999997</v>
      </c>
      <c r="D5" s="99">
        <v>52</v>
      </c>
      <c r="E5" s="99">
        <v>19.5</v>
      </c>
      <c r="F5" s="99">
        <v>-39.299999999999997</v>
      </c>
      <c r="G5" s="363">
        <v>26.5</v>
      </c>
      <c r="H5" s="93">
        <v>13.4</v>
      </c>
      <c r="I5" s="93">
        <v>-5.6</v>
      </c>
      <c r="J5" s="32">
        <v>31.9</v>
      </c>
      <c r="K5" s="32">
        <v>34.5</v>
      </c>
      <c r="L5" s="92">
        <v>49.5</v>
      </c>
      <c r="M5" s="92">
        <v>42.9</v>
      </c>
      <c r="N5" s="92">
        <v>40</v>
      </c>
      <c r="O5" s="92">
        <v>50.8</v>
      </c>
      <c r="P5" s="92">
        <v>20.100000000000001</v>
      </c>
      <c r="Q5" s="109">
        <v>14.2</v>
      </c>
      <c r="R5" s="92">
        <v>42</v>
      </c>
    </row>
    <row r="6" spans="2:18" s="213" customFormat="1" ht="17.25" customHeight="1" x14ac:dyDescent="0.2">
      <c r="B6" s="364" t="s">
        <v>24</v>
      </c>
      <c r="C6" s="94">
        <v>-14.7</v>
      </c>
      <c r="D6" s="94">
        <v>-55.6</v>
      </c>
      <c r="E6" s="94">
        <v>-9.3849999999999998</v>
      </c>
      <c r="F6" s="94">
        <v>56.3</v>
      </c>
      <c r="G6" s="94">
        <v>11.4</v>
      </c>
      <c r="H6" s="95">
        <v>-37.700000000000003</v>
      </c>
      <c r="I6" s="95">
        <v>-30.8</v>
      </c>
      <c r="J6" s="95">
        <v>-18.899999999999999</v>
      </c>
      <c r="K6" s="95">
        <v>32.5</v>
      </c>
      <c r="L6" s="94">
        <v>-37.799999999999997</v>
      </c>
      <c r="M6" s="94">
        <v>-16.899999999999999</v>
      </c>
      <c r="N6" s="94">
        <v>1.1000000000000001</v>
      </c>
      <c r="O6" s="94">
        <v>-11.6</v>
      </c>
      <c r="P6" s="94">
        <v>42.4</v>
      </c>
      <c r="Q6" s="94">
        <v>-13.3</v>
      </c>
      <c r="R6" s="94">
        <v>13</v>
      </c>
    </row>
    <row r="7" spans="2:18" s="39" customFormat="1" ht="21" customHeight="1" x14ac:dyDescent="0.2">
      <c r="B7" s="426" t="s">
        <v>25</v>
      </c>
      <c r="C7" s="430">
        <f>SUM(C5:C6)</f>
        <v>21.099999999999998</v>
      </c>
      <c r="D7" s="430">
        <f>SUM(D5:D6)</f>
        <v>-3.6000000000000014</v>
      </c>
      <c r="E7" s="427">
        <v>10.115</v>
      </c>
      <c r="F7" s="427">
        <f>SUM(F5:F6)</f>
        <v>17</v>
      </c>
      <c r="G7" s="428">
        <f>SUM(G5:G6)</f>
        <v>37.9</v>
      </c>
      <c r="H7" s="429">
        <v>-24.3</v>
      </c>
      <c r="I7" s="430">
        <f>+SUM(I5:I6)</f>
        <v>-36.4</v>
      </c>
      <c r="J7" s="430">
        <f>+SUM(J5:J6)</f>
        <v>13</v>
      </c>
      <c r="K7" s="430">
        <f>+SUM(K5:K6)</f>
        <v>67</v>
      </c>
      <c r="L7" s="431">
        <v>11.700000000000003</v>
      </c>
      <c r="M7" s="431">
        <v>26</v>
      </c>
      <c r="N7" s="431">
        <v>41.1</v>
      </c>
      <c r="O7" s="431">
        <v>39.200000000000003</v>
      </c>
      <c r="P7" s="431">
        <v>62.5</v>
      </c>
      <c r="Q7" s="431">
        <v>0.9</v>
      </c>
      <c r="R7" s="431">
        <v>55</v>
      </c>
    </row>
    <row r="8" spans="2:18" ht="21" customHeight="1" x14ac:dyDescent="0.2">
      <c r="B8" s="365" t="s">
        <v>26</v>
      </c>
      <c r="C8" s="98">
        <f>D8</f>
        <v>-6.2</v>
      </c>
      <c r="D8" s="98">
        <v>-6.2</v>
      </c>
      <c r="E8" s="98">
        <v>-9.8419299999999996</v>
      </c>
      <c r="F8" s="98">
        <v>-9.3000000000000007</v>
      </c>
      <c r="G8" s="98">
        <v>-15.8</v>
      </c>
      <c r="H8" s="98">
        <v>-13</v>
      </c>
      <c r="I8" s="98">
        <v>-20.8</v>
      </c>
      <c r="J8" s="98">
        <v>-22.4</v>
      </c>
      <c r="K8" s="98">
        <v>-15.4</v>
      </c>
      <c r="L8" s="96">
        <v>-18.100000000000001</v>
      </c>
      <c r="M8" s="96">
        <v>-14.5</v>
      </c>
      <c r="N8" s="96">
        <v>-81.400000000000006</v>
      </c>
      <c r="O8" s="96">
        <v>-16.600000000000001</v>
      </c>
      <c r="P8" s="96">
        <v>-10.6</v>
      </c>
      <c r="Q8" s="96">
        <v>-19.5</v>
      </c>
      <c r="R8" s="96">
        <v>-57.4</v>
      </c>
    </row>
    <row r="9" spans="2:18" ht="21" customHeight="1" x14ac:dyDescent="0.2">
      <c r="B9" s="365" t="s">
        <v>172</v>
      </c>
      <c r="C9" s="98">
        <v>-5</v>
      </c>
      <c r="D9" s="98">
        <v>-4.7</v>
      </c>
      <c r="E9" s="98">
        <v>-5.1109210000000003</v>
      </c>
      <c r="F9" s="98">
        <v>-5.3</v>
      </c>
      <c r="G9" s="98">
        <v>-11.7</v>
      </c>
      <c r="H9" s="158" t="s">
        <v>57</v>
      </c>
      <c r="I9" s="158" t="s">
        <v>57</v>
      </c>
      <c r="J9" s="158" t="s">
        <v>57</v>
      </c>
      <c r="K9" s="158" t="s">
        <v>57</v>
      </c>
      <c r="L9" s="158" t="s">
        <v>57</v>
      </c>
      <c r="M9" s="158" t="s">
        <v>57</v>
      </c>
      <c r="N9" s="158" t="s">
        <v>57</v>
      </c>
      <c r="O9" s="158" t="s">
        <v>57</v>
      </c>
      <c r="P9" s="158" t="s">
        <v>57</v>
      </c>
      <c r="Q9" s="158" t="s">
        <v>57</v>
      </c>
      <c r="R9" s="158" t="s">
        <v>57</v>
      </c>
    </row>
    <row r="10" spans="2:18" ht="21" customHeight="1" x14ac:dyDescent="0.2">
      <c r="B10" s="365" t="s">
        <v>321</v>
      </c>
      <c r="C10" s="98" t="s">
        <v>57</v>
      </c>
      <c r="D10" s="98" t="s">
        <v>57</v>
      </c>
      <c r="E10" s="98" t="s">
        <v>57</v>
      </c>
      <c r="F10" s="98">
        <v>-111.7</v>
      </c>
      <c r="G10" s="158" t="s">
        <v>57</v>
      </c>
      <c r="H10" s="158" t="s">
        <v>57</v>
      </c>
      <c r="I10" s="158" t="s">
        <v>57</v>
      </c>
      <c r="J10" s="158" t="s">
        <v>57</v>
      </c>
      <c r="K10" s="158" t="s">
        <v>57</v>
      </c>
      <c r="L10" s="158" t="s">
        <v>57</v>
      </c>
      <c r="M10" s="158" t="s">
        <v>57</v>
      </c>
      <c r="N10" s="158" t="s">
        <v>57</v>
      </c>
      <c r="O10" s="158" t="s">
        <v>57</v>
      </c>
      <c r="P10" s="158" t="s">
        <v>57</v>
      </c>
      <c r="Q10" s="158" t="s">
        <v>57</v>
      </c>
      <c r="R10" s="158" t="s">
        <v>57</v>
      </c>
    </row>
    <row r="11" spans="2:18" ht="9" customHeight="1" x14ac:dyDescent="0.2">
      <c r="B11" s="231"/>
      <c r="C11" s="231"/>
      <c r="D11" s="231"/>
      <c r="E11" s="99"/>
      <c r="F11" s="99"/>
      <c r="G11" s="99"/>
      <c r="H11" s="100"/>
      <c r="I11" s="100"/>
      <c r="J11" s="100"/>
      <c r="K11" s="100"/>
      <c r="L11" s="99"/>
      <c r="M11" s="99"/>
      <c r="N11" s="99"/>
      <c r="O11" s="99"/>
      <c r="P11" s="99"/>
      <c r="Q11" s="99"/>
      <c r="R11" s="99"/>
    </row>
    <row r="12" spans="2:18" s="39" customFormat="1" ht="21" customHeight="1" x14ac:dyDescent="0.2">
      <c r="B12" s="367" t="s">
        <v>1</v>
      </c>
      <c r="C12" s="155">
        <f>SUM(C7:C9)</f>
        <v>9.8999999999999986</v>
      </c>
      <c r="D12" s="155">
        <f>SUM(D7:D9)</f>
        <v>-14.5</v>
      </c>
      <c r="E12" s="154">
        <v>-4.8378509999999997</v>
      </c>
      <c r="F12" s="154">
        <f>SUM(F7:F10)</f>
        <v>-109.3</v>
      </c>
      <c r="G12" s="154">
        <f>SUM(G7:G9)</f>
        <v>10.399999999999999</v>
      </c>
      <c r="H12" s="155">
        <v>-37.299999999999997</v>
      </c>
      <c r="I12" s="156">
        <f>I7+I8</f>
        <v>-57.2</v>
      </c>
      <c r="J12" s="156">
        <f>J7+J8+0.1</f>
        <v>-9.2999999999999989</v>
      </c>
      <c r="K12" s="156">
        <f>K7+K8</f>
        <v>51.6</v>
      </c>
      <c r="L12" s="154">
        <v>-6.3999999999999986</v>
      </c>
      <c r="M12" s="154">
        <v>11.5</v>
      </c>
      <c r="N12" s="154">
        <v>-40.300000000000004</v>
      </c>
      <c r="O12" s="154">
        <v>22.6</v>
      </c>
      <c r="P12" s="154">
        <v>51.9</v>
      </c>
      <c r="Q12" s="154">
        <v>-18.600000000000001</v>
      </c>
      <c r="R12" s="154">
        <v>-2.4</v>
      </c>
    </row>
    <row r="13" spans="2:18" ht="17.25" customHeight="1" x14ac:dyDescent="0.2">
      <c r="B13" s="11"/>
      <c r="C13" s="11"/>
      <c r="D13" s="11"/>
      <c r="E13" s="11"/>
      <c r="F13" s="206"/>
      <c r="G13" s="206"/>
      <c r="H13" s="206"/>
      <c r="I13" s="206"/>
      <c r="J13" s="206"/>
      <c r="K13" s="206"/>
      <c r="L13" s="206"/>
      <c r="M13" s="206"/>
      <c r="N13" s="206"/>
      <c r="O13" s="206"/>
      <c r="P13" s="207"/>
      <c r="Q13" s="207"/>
      <c r="R13" s="207"/>
    </row>
    <row r="14" spans="2:18" s="184" customFormat="1" ht="26.25" x14ac:dyDescent="0.4">
      <c r="B14" s="185" t="s">
        <v>139</v>
      </c>
      <c r="C14" s="185"/>
      <c r="D14" s="185"/>
      <c r="E14" s="185"/>
      <c r="F14" s="56"/>
      <c r="G14" s="56"/>
      <c r="H14" s="56"/>
      <c r="I14" s="56"/>
      <c r="J14" s="56"/>
      <c r="K14" s="56"/>
      <c r="L14" s="56"/>
      <c r="M14" s="56"/>
      <c r="N14" s="56"/>
      <c r="O14" s="56"/>
      <c r="P14" s="56"/>
      <c r="Q14" s="56"/>
      <c r="R14" s="56"/>
    </row>
    <row r="15" spans="2:18" s="184" customFormat="1" ht="13.5" thickBot="1" x14ac:dyDescent="0.25">
      <c r="F15" s="58"/>
      <c r="G15" s="58"/>
      <c r="H15" s="58"/>
      <c r="I15" s="58"/>
      <c r="J15" s="58"/>
      <c r="K15" s="58"/>
      <c r="L15" s="58"/>
      <c r="M15" s="58"/>
      <c r="N15" s="58"/>
      <c r="O15" s="58"/>
      <c r="P15" s="58"/>
      <c r="Q15" s="58"/>
      <c r="R15" s="58"/>
    </row>
    <row r="16" spans="2:18" s="9" customFormat="1" ht="25.5" customHeight="1" thickBot="1" x14ac:dyDescent="0.25">
      <c r="B16" s="198" t="s">
        <v>44</v>
      </c>
      <c r="C16" s="202" t="s">
        <v>365</v>
      </c>
      <c r="D16" s="202" t="s">
        <v>354</v>
      </c>
      <c r="E16" s="202" t="s">
        <v>334</v>
      </c>
      <c r="F16" s="202" t="s">
        <v>147</v>
      </c>
      <c r="G16" s="202" t="s">
        <v>171</v>
      </c>
      <c r="H16" s="202" t="s">
        <v>148</v>
      </c>
      <c r="I16" s="203" t="s">
        <v>187</v>
      </c>
      <c r="J16" s="203" t="s">
        <v>149</v>
      </c>
      <c r="K16" s="203" t="s">
        <v>150</v>
      </c>
      <c r="L16" s="203" t="s">
        <v>151</v>
      </c>
      <c r="M16" s="203" t="s">
        <v>152</v>
      </c>
      <c r="N16" s="203" t="s">
        <v>153</v>
      </c>
      <c r="O16" s="203" t="s">
        <v>154</v>
      </c>
      <c r="P16" s="203" t="s">
        <v>155</v>
      </c>
      <c r="Q16" s="203" t="s">
        <v>156</v>
      </c>
      <c r="R16" s="203" t="s">
        <v>157</v>
      </c>
    </row>
    <row r="17" spans="2:18" s="184" customFormat="1" ht="8.25" customHeight="1" x14ac:dyDescent="0.25">
      <c r="B17" s="186"/>
      <c r="C17" s="186"/>
      <c r="D17" s="186"/>
      <c r="E17" s="186"/>
      <c r="F17" s="58"/>
      <c r="G17" s="58"/>
      <c r="H17" s="58"/>
      <c r="I17" s="58"/>
      <c r="J17" s="58"/>
      <c r="K17" s="58"/>
      <c r="L17" s="58"/>
      <c r="M17" s="58"/>
      <c r="N17" s="58"/>
      <c r="O17" s="58"/>
      <c r="P17" s="67"/>
      <c r="Q17" s="58"/>
      <c r="R17" s="58"/>
    </row>
    <row r="18" spans="2:18" s="184" customFormat="1" x14ac:dyDescent="0.2">
      <c r="F18" s="58"/>
      <c r="G18" s="58"/>
      <c r="H18" s="58"/>
      <c r="I18" s="58"/>
      <c r="J18" s="58"/>
      <c r="K18" s="58"/>
      <c r="L18" s="58"/>
      <c r="M18" s="58"/>
      <c r="N18" s="58"/>
      <c r="O18" s="58"/>
      <c r="P18" s="58"/>
      <c r="Q18" s="58"/>
      <c r="R18" s="58"/>
    </row>
    <row r="19" spans="2:18" s="188" customFormat="1" ht="25.5" x14ac:dyDescent="0.2">
      <c r="B19" s="117" t="s">
        <v>108</v>
      </c>
      <c r="C19" s="157">
        <v>77.709599999999995</v>
      </c>
      <c r="D19" s="157">
        <v>99.001999999999995</v>
      </c>
      <c r="E19" s="157">
        <v>85.966399999999993</v>
      </c>
      <c r="F19" s="157">
        <v>53.914999999999999</v>
      </c>
      <c r="G19" s="157">
        <v>174.96799999999999</v>
      </c>
      <c r="H19" s="157">
        <v>20.841999999999999</v>
      </c>
      <c r="I19" s="157">
        <v>99</v>
      </c>
      <c r="J19" s="157">
        <v>47.6</v>
      </c>
      <c r="K19" s="157">
        <v>39.5</v>
      </c>
      <c r="L19" s="157">
        <v>69.7</v>
      </c>
      <c r="M19" s="157">
        <v>45.622999999999998</v>
      </c>
      <c r="N19" s="157">
        <v>76.5</v>
      </c>
      <c r="O19" s="157">
        <v>72.495000000000005</v>
      </c>
      <c r="P19" s="157">
        <v>-20.919</v>
      </c>
      <c r="Q19" s="157">
        <v>-20.442</v>
      </c>
      <c r="R19" s="157">
        <v>-28.469000000000001</v>
      </c>
    </row>
    <row r="20" spans="2:18" s="184" customFormat="1" x14ac:dyDescent="0.2">
      <c r="B20" s="187"/>
      <c r="C20" s="187"/>
      <c r="D20" s="58"/>
      <c r="E20" s="58"/>
      <c r="F20" s="58"/>
      <c r="G20" s="58"/>
      <c r="H20" s="58"/>
      <c r="I20" s="58"/>
      <c r="J20" s="58"/>
      <c r="K20" s="58"/>
      <c r="L20" s="58"/>
      <c r="M20" s="58"/>
      <c r="N20" s="58"/>
      <c r="O20" s="58"/>
      <c r="P20" s="76"/>
      <c r="Q20" s="58"/>
      <c r="R20" s="58"/>
    </row>
    <row r="21" spans="2:18" s="184" customFormat="1" x14ac:dyDescent="0.2">
      <c r="B21" s="187" t="s">
        <v>109</v>
      </c>
      <c r="C21" s="187"/>
      <c r="D21" s="128"/>
      <c r="E21" s="128"/>
      <c r="F21" s="128"/>
      <c r="G21" s="128"/>
      <c r="H21" s="128"/>
      <c r="I21" s="128"/>
      <c r="J21" s="128"/>
      <c r="K21" s="128"/>
      <c r="L21" s="128"/>
      <c r="M21" s="128"/>
      <c r="N21" s="65"/>
      <c r="O21" s="65"/>
      <c r="P21" s="76"/>
      <c r="Q21" s="58"/>
      <c r="R21" s="58"/>
    </row>
    <row r="22" spans="2:18" s="184" customFormat="1" ht="18" customHeight="1" x14ac:dyDescent="0.2">
      <c r="B22" s="184" t="s">
        <v>110</v>
      </c>
      <c r="C22" s="158">
        <v>-9.3830519999999993</v>
      </c>
      <c r="D22" s="158">
        <v>32.341999999999999</v>
      </c>
      <c r="E22" s="158">
        <v>2.4803920000000002</v>
      </c>
      <c r="F22" s="158">
        <v>-74.296999999999997</v>
      </c>
      <c r="G22" s="158">
        <v>-273.15499999999997</v>
      </c>
      <c r="H22" s="158">
        <v>-13.933999999999999</v>
      </c>
      <c r="I22" s="158">
        <v>-9.6</v>
      </c>
      <c r="J22" s="158">
        <v>16.5</v>
      </c>
      <c r="K22" s="158">
        <v>8.5</v>
      </c>
      <c r="L22" s="158">
        <v>29.5</v>
      </c>
      <c r="M22" s="158">
        <v>20.346</v>
      </c>
      <c r="N22" s="158">
        <v>22.4</v>
      </c>
      <c r="O22" s="158">
        <v>33.414999999999999</v>
      </c>
      <c r="P22" s="158">
        <v>-1.2909999999999999</v>
      </c>
      <c r="Q22" s="158">
        <v>-135.17500000000001</v>
      </c>
      <c r="R22" s="158">
        <v>22.97</v>
      </c>
    </row>
    <row r="23" spans="2:18" s="184" customFormat="1" ht="18" customHeight="1" x14ac:dyDescent="0.2">
      <c r="B23" s="184" t="s">
        <v>111</v>
      </c>
      <c r="C23" s="158">
        <v>20.628882000000001</v>
      </c>
      <c r="D23" s="158">
        <v>19.221</v>
      </c>
      <c r="E23" s="158">
        <v>23.817160999999999</v>
      </c>
      <c r="F23" s="158">
        <v>24.553999999999998</v>
      </c>
      <c r="G23" s="158">
        <v>21.981999999999999</v>
      </c>
      <c r="H23" s="158">
        <v>22.061</v>
      </c>
      <c r="I23" s="158">
        <v>20.9</v>
      </c>
      <c r="J23" s="158">
        <v>21.9</v>
      </c>
      <c r="K23" s="158">
        <v>19.600000000000001</v>
      </c>
      <c r="L23" s="158">
        <v>17.2</v>
      </c>
      <c r="M23" s="158">
        <v>17.768000000000001</v>
      </c>
      <c r="N23" s="158">
        <v>19.5</v>
      </c>
      <c r="O23" s="158">
        <v>18.332000000000001</v>
      </c>
      <c r="P23" s="158">
        <v>20.103000000000002</v>
      </c>
      <c r="Q23" s="158">
        <v>22.219000000000001</v>
      </c>
      <c r="R23" s="158">
        <v>20.061</v>
      </c>
    </row>
    <row r="24" spans="2:18" s="184" customFormat="1" ht="18" customHeight="1" x14ac:dyDescent="0.2">
      <c r="B24" s="12" t="s">
        <v>140</v>
      </c>
      <c r="C24" s="158">
        <v>5.162077</v>
      </c>
      <c r="D24" s="158">
        <v>4.8220000000000001</v>
      </c>
      <c r="E24" s="158">
        <v>4.8817000000000004</v>
      </c>
      <c r="F24" s="158">
        <v>5.298</v>
      </c>
      <c r="G24" s="158">
        <v>12.058999999999999</v>
      </c>
      <c r="H24" s="158" t="s">
        <v>57</v>
      </c>
      <c r="I24" s="158" t="s">
        <v>57</v>
      </c>
      <c r="J24" s="158" t="s">
        <v>57</v>
      </c>
      <c r="K24" s="158" t="s">
        <v>57</v>
      </c>
      <c r="L24" s="158" t="s">
        <v>57</v>
      </c>
      <c r="M24" s="158" t="s">
        <v>57</v>
      </c>
      <c r="N24" s="158" t="s">
        <v>57</v>
      </c>
      <c r="O24" s="158" t="s">
        <v>57</v>
      </c>
      <c r="P24" s="158" t="s">
        <v>57</v>
      </c>
      <c r="Q24" s="158" t="s">
        <v>57</v>
      </c>
      <c r="R24" s="158" t="s">
        <v>57</v>
      </c>
    </row>
    <row r="25" spans="2:18" s="184" customFormat="1" ht="18" customHeight="1" x14ac:dyDescent="0.2">
      <c r="B25" s="150" t="s">
        <v>112</v>
      </c>
      <c r="C25" s="159">
        <v>0</v>
      </c>
      <c r="D25" s="159" t="s">
        <v>57</v>
      </c>
      <c r="E25" s="159" t="s">
        <v>57</v>
      </c>
      <c r="F25" s="159" t="s">
        <v>57</v>
      </c>
      <c r="G25" s="159">
        <v>-227.06200000000001</v>
      </c>
      <c r="H25" s="158" t="s">
        <v>57</v>
      </c>
      <c r="I25" s="158" t="s">
        <v>57</v>
      </c>
      <c r="J25" s="158" t="s">
        <v>57</v>
      </c>
      <c r="K25" s="158" t="s">
        <v>57</v>
      </c>
      <c r="L25" s="158" t="s">
        <v>57</v>
      </c>
      <c r="M25" s="158" t="s">
        <v>57</v>
      </c>
      <c r="N25" s="158" t="s">
        <v>57</v>
      </c>
      <c r="O25" s="158" t="s">
        <v>57</v>
      </c>
      <c r="P25" s="158" t="s">
        <v>57</v>
      </c>
      <c r="Q25" s="158">
        <v>120.69499999999999</v>
      </c>
      <c r="R25" s="158" t="s">
        <v>57</v>
      </c>
    </row>
    <row r="26" spans="2:18" s="184" customFormat="1" ht="18" customHeight="1" x14ac:dyDescent="0.2">
      <c r="B26" s="213" t="s">
        <v>324</v>
      </c>
      <c r="C26" s="159">
        <v>8.5860000000000003</v>
      </c>
      <c r="D26" s="159">
        <v>-8.7309999999999999</v>
      </c>
      <c r="E26" s="159">
        <v>0.67300000000000004</v>
      </c>
      <c r="F26" s="159"/>
      <c r="G26" s="159"/>
      <c r="H26" s="158"/>
      <c r="I26" s="158"/>
      <c r="J26" s="158"/>
      <c r="K26" s="158"/>
      <c r="L26" s="158"/>
      <c r="M26" s="158"/>
      <c r="N26" s="158"/>
      <c r="O26" s="158"/>
      <c r="P26" s="158"/>
      <c r="Q26" s="158"/>
      <c r="R26" s="158"/>
    </row>
    <row r="27" spans="2:18" s="184" customFormat="1" ht="18" customHeight="1" x14ac:dyDescent="0.2">
      <c r="B27" s="189" t="s">
        <v>325</v>
      </c>
      <c r="C27" s="158">
        <v>3.1984693986627701</v>
      </c>
      <c r="D27" s="158">
        <v>-11.23</v>
      </c>
      <c r="E27" s="158">
        <v>-20.3622531145861</v>
      </c>
      <c r="F27" s="158">
        <v>9.2050000000000001</v>
      </c>
      <c r="G27" s="158">
        <v>12.074</v>
      </c>
      <c r="H27" s="158">
        <v>-0.67400000000000004</v>
      </c>
      <c r="I27" s="158">
        <v>-13.3</v>
      </c>
      <c r="J27" s="158">
        <v>-6.7</v>
      </c>
      <c r="K27" s="158">
        <v>17.2</v>
      </c>
      <c r="L27" s="158">
        <v>-3.5</v>
      </c>
      <c r="M27" s="158">
        <v>6.9089999999999998</v>
      </c>
      <c r="N27" s="158">
        <v>-0.1</v>
      </c>
      <c r="O27" s="158">
        <v>1.9570000000000001</v>
      </c>
      <c r="P27" s="158">
        <v>-0.372</v>
      </c>
      <c r="Q27" s="158">
        <v>9.3460000000000001</v>
      </c>
      <c r="R27" s="158">
        <v>2.024</v>
      </c>
    </row>
    <row r="28" spans="2:18" s="184" customFormat="1" ht="18" customHeight="1" x14ac:dyDescent="0.2">
      <c r="B28" s="184" t="s">
        <v>113</v>
      </c>
      <c r="C28" s="158">
        <v>4.6319999999999997</v>
      </c>
      <c r="D28" s="158">
        <v>2.0699999999999998</v>
      </c>
      <c r="E28" s="158">
        <v>6.5149999999999997</v>
      </c>
      <c r="F28" s="158">
        <v>3.8380000000000001</v>
      </c>
      <c r="G28" s="158">
        <v>3.4590000000000001</v>
      </c>
      <c r="H28" s="158">
        <v>5.298</v>
      </c>
      <c r="I28" s="158">
        <v>3.6</v>
      </c>
      <c r="J28" s="158">
        <v>3.2</v>
      </c>
      <c r="K28" s="158">
        <v>4.2</v>
      </c>
      <c r="L28" s="158">
        <v>3.9</v>
      </c>
      <c r="M28" s="158">
        <v>7.7430000000000003</v>
      </c>
      <c r="N28" s="158">
        <v>9.8000000000000007</v>
      </c>
      <c r="O28" s="158">
        <v>12.454000000000001</v>
      </c>
      <c r="P28" s="158">
        <v>14.606</v>
      </c>
      <c r="Q28" s="158">
        <v>21.375</v>
      </c>
      <c r="R28" s="158">
        <v>20.888999999999999</v>
      </c>
    </row>
    <row r="29" spans="2:18" s="184" customFormat="1" ht="18" customHeight="1" x14ac:dyDescent="0.2">
      <c r="B29" s="12" t="s">
        <v>142</v>
      </c>
      <c r="C29" s="158">
        <v>0.873</v>
      </c>
      <c r="D29" s="158">
        <v>0.78100000000000003</v>
      </c>
      <c r="E29" s="158">
        <v>0.78800000000000003</v>
      </c>
      <c r="F29" s="158">
        <v>0.92400000000000004</v>
      </c>
      <c r="G29" s="158">
        <v>1.32</v>
      </c>
      <c r="H29" s="158" t="s">
        <v>57</v>
      </c>
      <c r="I29" s="158" t="s">
        <v>57</v>
      </c>
      <c r="J29" s="158" t="s">
        <v>57</v>
      </c>
      <c r="K29" s="158" t="s">
        <v>57</v>
      </c>
      <c r="L29" s="158" t="s">
        <v>57</v>
      </c>
      <c r="M29" s="158" t="s">
        <v>57</v>
      </c>
      <c r="N29" s="158" t="s">
        <v>57</v>
      </c>
      <c r="O29" s="158" t="s">
        <v>57</v>
      </c>
      <c r="P29" s="158" t="s">
        <v>57</v>
      </c>
      <c r="Q29" s="158" t="s">
        <v>57</v>
      </c>
      <c r="R29" s="158" t="s">
        <v>57</v>
      </c>
    </row>
    <row r="30" spans="2:18" s="184" customFormat="1" ht="18" customHeight="1" x14ac:dyDescent="0.2">
      <c r="B30" s="184" t="s">
        <v>114</v>
      </c>
      <c r="C30" s="158">
        <v>10.2095</v>
      </c>
      <c r="D30" s="158">
        <v>11.699</v>
      </c>
      <c r="E30" s="158">
        <v>7.5839999999999996</v>
      </c>
      <c r="F30" s="158">
        <v>-5.6920000000000002</v>
      </c>
      <c r="G30" s="158">
        <v>26.728999999999999</v>
      </c>
      <c r="H30" s="158">
        <v>3.8929999999999998</v>
      </c>
      <c r="I30" s="158">
        <v>5.6</v>
      </c>
      <c r="J30" s="158">
        <v>14.7</v>
      </c>
      <c r="K30" s="158">
        <v>8.4</v>
      </c>
      <c r="L30" s="158">
        <v>16.7</v>
      </c>
      <c r="M30" s="158">
        <v>11.904</v>
      </c>
      <c r="N30" s="158">
        <v>13.7</v>
      </c>
      <c r="O30" s="158">
        <v>16.888999999999999</v>
      </c>
      <c r="P30" s="158">
        <v>16.998999999999999</v>
      </c>
      <c r="Q30" s="158">
        <v>13.384</v>
      </c>
      <c r="R30" s="158">
        <v>15.65</v>
      </c>
    </row>
    <row r="31" spans="2:18" s="184" customFormat="1" ht="8.25" customHeight="1" x14ac:dyDescent="0.2">
      <c r="E31" s="158"/>
      <c r="F31" s="158"/>
      <c r="G31" s="158"/>
      <c r="H31" s="158"/>
      <c r="I31" s="158"/>
      <c r="J31" s="158"/>
      <c r="K31" s="158"/>
      <c r="L31" s="128"/>
      <c r="M31" s="128"/>
      <c r="N31" s="128"/>
      <c r="O31" s="128"/>
      <c r="P31" s="128"/>
      <c r="Q31" s="137"/>
      <c r="R31" s="137"/>
    </row>
    <row r="32" spans="2:18" s="188" customFormat="1" ht="25.5" x14ac:dyDescent="0.2">
      <c r="B32" s="151" t="s">
        <v>115</v>
      </c>
      <c r="C32" s="211">
        <f>SUM(C22:C30)</f>
        <v>43.906876398662767</v>
      </c>
      <c r="D32" s="211">
        <f>SUM(D22:D30)</f>
        <v>50.974000000000004</v>
      </c>
      <c r="E32" s="211">
        <v>26.376999885413905</v>
      </c>
      <c r="F32" s="211">
        <v>-36.168999999999997</v>
      </c>
      <c r="G32" s="160">
        <v>31.53</v>
      </c>
      <c r="H32" s="160">
        <v>16.644000000000002</v>
      </c>
      <c r="I32" s="160">
        <v>7.2</v>
      </c>
      <c r="J32" s="160">
        <v>49.6</v>
      </c>
      <c r="K32" s="160">
        <v>57.9</v>
      </c>
      <c r="L32" s="160">
        <v>63.8</v>
      </c>
      <c r="M32" s="160">
        <v>64.67</v>
      </c>
      <c r="N32" s="160">
        <v>65.3</v>
      </c>
      <c r="O32" s="160">
        <v>83.046999999999997</v>
      </c>
      <c r="P32" s="160">
        <v>50.045000000000002</v>
      </c>
      <c r="Q32" s="160">
        <v>51.84399999999998</v>
      </c>
      <c r="R32" s="160">
        <v>81.594000000000008</v>
      </c>
    </row>
    <row r="33" spans="2:19" s="184" customFormat="1" x14ac:dyDescent="0.2">
      <c r="E33" s="58"/>
      <c r="F33" s="58"/>
      <c r="G33" s="58"/>
      <c r="H33" s="58"/>
      <c r="I33" s="58"/>
      <c r="J33" s="58"/>
      <c r="K33" s="58"/>
      <c r="L33" s="58"/>
      <c r="M33" s="58"/>
      <c r="N33" s="58"/>
      <c r="O33" s="58"/>
      <c r="P33" s="58"/>
      <c r="Q33" s="58"/>
      <c r="R33" s="137"/>
    </row>
    <row r="34" spans="2:19" s="184" customFormat="1" ht="15.75" customHeight="1" x14ac:dyDescent="0.2">
      <c r="B34" s="184" t="s">
        <v>116</v>
      </c>
      <c r="C34" s="158">
        <v>-15.985628</v>
      </c>
      <c r="D34" s="158">
        <v>-57.884999999999998</v>
      </c>
      <c r="E34" s="158">
        <v>-43.783113999999998</v>
      </c>
      <c r="F34" s="158">
        <v>37.930999999999997</v>
      </c>
      <c r="G34" s="158">
        <v>-14.225</v>
      </c>
      <c r="H34" s="158">
        <v>-8.3659999999999997</v>
      </c>
      <c r="I34" s="158">
        <v>-6.19</v>
      </c>
      <c r="J34" s="158">
        <v>-22.396000000000001</v>
      </c>
      <c r="K34" s="158">
        <v>-3.528</v>
      </c>
      <c r="L34" s="158">
        <v>-38.799999999999997</v>
      </c>
      <c r="M34" s="158">
        <v>2.7149999999999999</v>
      </c>
      <c r="N34" s="158">
        <v>-16.702000000000002</v>
      </c>
      <c r="O34" s="158">
        <v>-25.692</v>
      </c>
      <c r="P34" s="158">
        <v>-23.529</v>
      </c>
      <c r="Q34" s="158">
        <v>-4.3259999999999996</v>
      </c>
      <c r="R34" s="159" t="s">
        <v>306</v>
      </c>
    </row>
    <row r="35" spans="2:19" s="184" customFormat="1" ht="15.75" customHeight="1" x14ac:dyDescent="0.2">
      <c r="B35" s="184" t="s">
        <v>117</v>
      </c>
      <c r="C35" s="158">
        <v>23.435476999999999</v>
      </c>
      <c r="D35" s="158">
        <v>-4.8330000000000002</v>
      </c>
      <c r="E35" s="158">
        <v>6.7301299999999999</v>
      </c>
      <c r="F35" s="158">
        <v>15.36</v>
      </c>
      <c r="G35" s="158">
        <v>2.8929999999999998</v>
      </c>
      <c r="H35" s="158">
        <v>15.28</v>
      </c>
      <c r="I35" s="158">
        <v>-6.7</v>
      </c>
      <c r="J35" s="158">
        <v>-16.5</v>
      </c>
      <c r="K35" s="158">
        <v>7.2</v>
      </c>
      <c r="L35" s="158">
        <v>-17.100000000000001</v>
      </c>
      <c r="M35" s="158">
        <v>14.616</v>
      </c>
      <c r="N35" s="158">
        <v>13.8</v>
      </c>
      <c r="O35" s="158">
        <v>20.11</v>
      </c>
      <c r="P35" s="158">
        <v>27.292000000000002</v>
      </c>
      <c r="Q35" s="158">
        <v>39.616999999999997</v>
      </c>
      <c r="R35" s="158">
        <v>34.860999999999997</v>
      </c>
    </row>
    <row r="36" spans="2:19" s="184" customFormat="1" ht="15.75" customHeight="1" x14ac:dyDescent="0.2">
      <c r="B36" s="184" t="s">
        <v>118</v>
      </c>
      <c r="C36" s="158">
        <v>-16.835260000000002</v>
      </c>
      <c r="D36" s="158">
        <v>3.84</v>
      </c>
      <c r="E36" s="158">
        <v>31.555685</v>
      </c>
      <c r="F36" s="158">
        <v>-3.1549999999999998</v>
      </c>
      <c r="G36" s="158">
        <v>7.08</v>
      </c>
      <c r="H36" s="158">
        <v>-26.702000000000002</v>
      </c>
      <c r="I36" s="158">
        <v>-20.611000000000001</v>
      </c>
      <c r="J36" s="158">
        <v>11.869</v>
      </c>
      <c r="K36" s="158">
        <v>1.762</v>
      </c>
      <c r="L36" s="158">
        <v>10.567</v>
      </c>
      <c r="M36" s="158">
        <v>-26.731000000000002</v>
      </c>
      <c r="N36" s="158">
        <v>7.3289999999999997</v>
      </c>
      <c r="O36" s="158">
        <v>-11.474</v>
      </c>
      <c r="P36" s="158">
        <v>30.971</v>
      </c>
      <c r="Q36" s="158">
        <v>-47.271999999999998</v>
      </c>
      <c r="R36" s="304" t="s">
        <v>307</v>
      </c>
    </row>
    <row r="37" spans="2:19" s="184" customFormat="1" ht="15.75" customHeight="1" x14ac:dyDescent="0.2">
      <c r="B37" s="184" t="s">
        <v>119</v>
      </c>
      <c r="C37" s="158">
        <v>2.7255769999999999</v>
      </c>
      <c r="D37" s="158">
        <v>4.4429999999999996</v>
      </c>
      <c r="E37" s="158">
        <v>-7.190849</v>
      </c>
      <c r="F37" s="158">
        <v>-6.5609999999999999</v>
      </c>
      <c r="G37" s="158">
        <v>7.5279999999999996</v>
      </c>
      <c r="H37" s="158">
        <v>-3.6920000000000002</v>
      </c>
      <c r="I37" s="158">
        <v>-9.7270000000000003</v>
      </c>
      <c r="J37" s="158">
        <v>-1.0289999999999999</v>
      </c>
      <c r="K37" s="158">
        <v>-8.98</v>
      </c>
      <c r="L37" s="158">
        <v>2.9860000000000002</v>
      </c>
      <c r="M37" s="158">
        <v>-10.193</v>
      </c>
      <c r="N37" s="158">
        <v>1.252</v>
      </c>
      <c r="O37" s="158">
        <v>3.4140000000000001</v>
      </c>
      <c r="P37" s="158">
        <v>-0.81100000000000005</v>
      </c>
      <c r="Q37" s="158">
        <v>5.3049999999999997</v>
      </c>
      <c r="R37" s="303" t="s">
        <v>305</v>
      </c>
    </row>
    <row r="38" spans="2:19" s="184" customFormat="1" ht="15.75" customHeight="1" x14ac:dyDescent="0.2">
      <c r="B38" s="184" t="s">
        <v>120</v>
      </c>
      <c r="C38" s="158">
        <v>-7.9985151464130002</v>
      </c>
      <c r="D38" s="158">
        <v>-1.1519999999999999</v>
      </c>
      <c r="E38" s="158">
        <v>3.3029387149229201</v>
      </c>
      <c r="F38" s="158">
        <v>12.68</v>
      </c>
      <c r="G38" s="158">
        <v>8.1110000000000007</v>
      </c>
      <c r="H38" s="158">
        <v>-14.257999999999999</v>
      </c>
      <c r="I38" s="158">
        <v>12.486000000000001</v>
      </c>
      <c r="J38" s="158">
        <v>9.2319999999999993</v>
      </c>
      <c r="K38" s="158">
        <v>36.121000000000002</v>
      </c>
      <c r="L38" s="158">
        <v>4.55</v>
      </c>
      <c r="M38" s="158">
        <v>2.661</v>
      </c>
      <c r="N38" s="158">
        <v>-4.5389999999999997</v>
      </c>
      <c r="O38" s="158">
        <v>2.089</v>
      </c>
      <c r="P38" s="158">
        <v>8.4429999999999996</v>
      </c>
      <c r="Q38" s="158">
        <v>-6.5119999999999996</v>
      </c>
      <c r="R38" s="303" t="s">
        <v>305</v>
      </c>
    </row>
    <row r="39" spans="2:19" s="184" customFormat="1" ht="15.75" customHeight="1" x14ac:dyDescent="0.2">
      <c r="B39" s="184" t="s">
        <v>121</v>
      </c>
      <c r="C39" s="158">
        <v>-3.9887891</v>
      </c>
      <c r="D39" s="158">
        <v>-1.6779999999999999</v>
      </c>
      <c r="E39" s="158">
        <v>-3.1207432818368499</v>
      </c>
      <c r="F39" s="158">
        <v>-1.8540000000000001</v>
      </c>
      <c r="G39" s="158">
        <v>-1.4750000000000001</v>
      </c>
      <c r="H39" s="158">
        <v>-2.0590000000000002</v>
      </c>
      <c r="I39" s="158">
        <v>-1</v>
      </c>
      <c r="J39" s="158">
        <v>-1</v>
      </c>
      <c r="K39" s="158">
        <v>-1.7</v>
      </c>
      <c r="L39" s="158">
        <v>-3</v>
      </c>
      <c r="M39" s="158">
        <v>-8.6359999999999992</v>
      </c>
      <c r="N39" s="158">
        <v>-9.4</v>
      </c>
      <c r="O39" s="158">
        <v>-12.95</v>
      </c>
      <c r="P39" s="158">
        <v>-16.571000000000002</v>
      </c>
      <c r="Q39" s="158">
        <v>-24.378</v>
      </c>
      <c r="R39" s="158">
        <v>-18.643000000000001</v>
      </c>
    </row>
    <row r="40" spans="2:19" s="184" customFormat="1" ht="15.75" customHeight="1" x14ac:dyDescent="0.2">
      <c r="B40" s="12" t="s">
        <v>143</v>
      </c>
      <c r="C40" s="158">
        <v>-0.873</v>
      </c>
      <c r="D40" s="158">
        <v>-0.78100000000000003</v>
      </c>
      <c r="E40" s="158">
        <v>-0.78800000000000003</v>
      </c>
      <c r="F40" s="158">
        <v>-0.92400000000000004</v>
      </c>
      <c r="G40" s="158">
        <v>-1.32</v>
      </c>
      <c r="H40" s="158" t="s">
        <v>57</v>
      </c>
      <c r="I40" s="158" t="s">
        <v>57</v>
      </c>
      <c r="J40" s="158" t="s">
        <v>57</v>
      </c>
      <c r="K40" s="158" t="s">
        <v>57</v>
      </c>
      <c r="L40" s="158" t="s">
        <v>57</v>
      </c>
      <c r="M40" s="158" t="s">
        <v>57</v>
      </c>
      <c r="N40" s="158" t="s">
        <v>57</v>
      </c>
      <c r="O40" s="158" t="s">
        <v>57</v>
      </c>
      <c r="P40" s="158" t="s">
        <v>57</v>
      </c>
      <c r="Q40" s="158" t="s">
        <v>57</v>
      </c>
      <c r="R40" s="158" t="s">
        <v>57</v>
      </c>
    </row>
    <row r="41" spans="2:19" s="184" customFormat="1" ht="15.75" customHeight="1" x14ac:dyDescent="0.2">
      <c r="B41" s="184" t="s">
        <v>122</v>
      </c>
      <c r="C41" s="158">
        <v>-3.2783920000000002</v>
      </c>
      <c r="D41" s="158">
        <v>3.4620000000000002</v>
      </c>
      <c r="E41" s="158">
        <v>-2.967787</v>
      </c>
      <c r="F41" s="158">
        <v>-0.312</v>
      </c>
      <c r="G41" s="158">
        <v>-2.2229999999999999</v>
      </c>
      <c r="H41" s="158">
        <v>-1.161</v>
      </c>
      <c r="I41" s="158">
        <v>-11.9</v>
      </c>
      <c r="J41" s="158">
        <v>-16.8</v>
      </c>
      <c r="K41" s="158">
        <v>-21.7</v>
      </c>
      <c r="L41" s="158">
        <v>-11.3</v>
      </c>
      <c r="M41" s="158">
        <v>-13.12</v>
      </c>
      <c r="N41" s="158">
        <v>-15.9</v>
      </c>
      <c r="O41" s="158">
        <v>-19.364000000000001</v>
      </c>
      <c r="P41" s="158">
        <v>-13.362</v>
      </c>
      <c r="Q41" s="158">
        <v>-13.336</v>
      </c>
      <c r="R41" s="158">
        <v>-20.960999999999999</v>
      </c>
    </row>
    <row r="42" spans="2:19" s="184" customFormat="1" ht="9.75" customHeight="1" x14ac:dyDescent="0.2">
      <c r="E42" s="58"/>
      <c r="F42" s="58"/>
      <c r="G42" s="58"/>
      <c r="H42" s="58"/>
      <c r="I42" s="58"/>
      <c r="J42" s="58"/>
      <c r="K42" s="58"/>
      <c r="L42" s="58"/>
      <c r="M42" s="58"/>
      <c r="N42" s="58"/>
      <c r="O42" s="58"/>
      <c r="P42" s="58"/>
      <c r="Q42" s="58"/>
      <c r="R42" s="165"/>
    </row>
    <row r="43" spans="2:19" s="188" customFormat="1" ht="15" customHeight="1" x14ac:dyDescent="0.2">
      <c r="B43" s="114" t="s">
        <v>123</v>
      </c>
      <c r="C43" s="157">
        <f>SUM(C32:C41)</f>
        <v>21.108346152249773</v>
      </c>
      <c r="D43" s="63">
        <v>-3.609</v>
      </c>
      <c r="E43" s="63">
        <v>10.115260318499978</v>
      </c>
      <c r="F43" s="63">
        <v>16.995999999999999</v>
      </c>
      <c r="G43" s="63">
        <v>37.9</v>
      </c>
      <c r="H43" s="157">
        <v>-24.313999999999997</v>
      </c>
      <c r="I43" s="157">
        <v>-36.4</v>
      </c>
      <c r="J43" s="157">
        <v>13</v>
      </c>
      <c r="K43" s="157">
        <v>67</v>
      </c>
      <c r="L43" s="157">
        <v>11.7</v>
      </c>
      <c r="M43" s="157">
        <v>25.981999999999992</v>
      </c>
      <c r="N43" s="157">
        <v>41.099999999999994</v>
      </c>
      <c r="O43" s="157">
        <v>39.179999999999978</v>
      </c>
      <c r="P43" s="157">
        <v>17.870000000000005</v>
      </c>
      <c r="Q43" s="157">
        <v>0.94199999999996997</v>
      </c>
      <c r="R43" s="157">
        <v>54.980000000000004</v>
      </c>
    </row>
    <row r="44" spans="2:19" s="184" customFormat="1" x14ac:dyDescent="0.2">
      <c r="E44" s="58"/>
      <c r="F44" s="58"/>
      <c r="G44" s="58"/>
      <c r="H44" s="58"/>
      <c r="I44" s="58"/>
      <c r="J44" s="58"/>
      <c r="K44" s="58"/>
      <c r="L44" s="58"/>
      <c r="M44" s="58"/>
      <c r="N44" s="58"/>
      <c r="O44" s="58"/>
      <c r="P44" s="58"/>
      <c r="Q44" s="58"/>
      <c r="R44" s="58"/>
    </row>
    <row r="45" spans="2:19" s="184" customFormat="1" x14ac:dyDescent="0.2">
      <c r="B45" s="187" t="s">
        <v>124</v>
      </c>
      <c r="C45" s="187"/>
      <c r="D45" s="187"/>
      <c r="E45" s="58"/>
      <c r="F45" s="58"/>
      <c r="G45" s="58"/>
      <c r="H45" s="58"/>
      <c r="I45" s="58"/>
      <c r="J45" s="58"/>
      <c r="K45" s="58"/>
      <c r="L45" s="58"/>
      <c r="M45" s="58"/>
      <c r="N45" s="58"/>
      <c r="O45" s="58"/>
      <c r="P45" s="58"/>
      <c r="Q45" s="58"/>
      <c r="R45" s="58"/>
    </row>
    <row r="46" spans="2:19" s="184" customFormat="1" ht="15.75" customHeight="1" x14ac:dyDescent="0.2">
      <c r="B46" s="152" t="s">
        <v>125</v>
      </c>
      <c r="C46" s="158">
        <v>-5.4781120000000003</v>
      </c>
      <c r="D46" s="158">
        <v>-4.702</v>
      </c>
      <c r="E46" s="158">
        <v>-5.7249689999999998</v>
      </c>
      <c r="F46" s="158">
        <v>-6.29</v>
      </c>
      <c r="G46" s="158">
        <v>-11.875</v>
      </c>
      <c r="H46" s="158">
        <v>-10.397</v>
      </c>
      <c r="I46" s="158">
        <v>-14.9</v>
      </c>
      <c r="J46" s="158">
        <v>-17.899999999999999</v>
      </c>
      <c r="K46" s="158">
        <v>-11.7</v>
      </c>
      <c r="L46" s="158">
        <v>-11.6</v>
      </c>
      <c r="M46" s="158">
        <v>-10.268000000000001</v>
      </c>
      <c r="N46" s="158">
        <v>-11.8</v>
      </c>
      <c r="O46" s="158">
        <v>-9.0950000000000006</v>
      </c>
      <c r="P46" s="158">
        <v>-10.061999999999999</v>
      </c>
      <c r="Q46" s="158">
        <v>-17.321000000000002</v>
      </c>
      <c r="R46" s="158">
        <v>-28.706</v>
      </c>
    </row>
    <row r="47" spans="2:19" s="184" customFormat="1" ht="15.75" customHeight="1" x14ac:dyDescent="0.2">
      <c r="B47" s="12" t="s">
        <v>144</v>
      </c>
      <c r="C47" s="158">
        <v>0.190688999999999</v>
      </c>
      <c r="D47" s="158">
        <v>6.2E-2</v>
      </c>
      <c r="E47" s="158">
        <v>0.59699999999999998</v>
      </c>
      <c r="F47" s="158">
        <v>-6.6000000000000003E-2</v>
      </c>
      <c r="G47" s="158">
        <v>0.25600000000000001</v>
      </c>
      <c r="H47" s="210" t="s">
        <v>57</v>
      </c>
      <c r="I47" s="210" t="s">
        <v>57</v>
      </c>
      <c r="J47" s="210" t="s">
        <v>57</v>
      </c>
      <c r="K47" s="210" t="s">
        <v>57</v>
      </c>
      <c r="L47" s="210" t="s">
        <v>57</v>
      </c>
      <c r="M47" s="210" t="s">
        <v>57</v>
      </c>
      <c r="N47" s="210" t="s">
        <v>57</v>
      </c>
      <c r="O47" s="210" t="s">
        <v>57</v>
      </c>
      <c r="P47" s="210" t="s">
        <v>57</v>
      </c>
      <c r="Q47" s="210" t="s">
        <v>57</v>
      </c>
      <c r="R47" s="210" t="s">
        <v>57</v>
      </c>
    </row>
    <row r="48" spans="2:19" s="184" customFormat="1" ht="15.75" customHeight="1" x14ac:dyDescent="0.2">
      <c r="B48" s="213" t="s">
        <v>189</v>
      </c>
      <c r="C48" s="210" t="s">
        <v>57</v>
      </c>
      <c r="D48" s="210" t="s">
        <v>57</v>
      </c>
      <c r="E48" s="210" t="s">
        <v>57</v>
      </c>
      <c r="F48" s="210" t="s">
        <v>57</v>
      </c>
      <c r="G48" s="210" t="s">
        <v>57</v>
      </c>
      <c r="H48" s="210" t="s">
        <v>57</v>
      </c>
      <c r="I48" s="210" t="s">
        <v>57</v>
      </c>
      <c r="J48" s="210" t="s">
        <v>57</v>
      </c>
      <c r="K48" s="158">
        <v>-1.1000000000000001</v>
      </c>
      <c r="L48" s="158">
        <v>-1.5</v>
      </c>
      <c r="M48" s="158">
        <v>-3.75</v>
      </c>
      <c r="N48" s="158">
        <v>-10.199999999999999</v>
      </c>
      <c r="O48" s="158">
        <v>-6.7489999999999997</v>
      </c>
      <c r="P48" s="158" t="s">
        <v>57</v>
      </c>
      <c r="Q48" s="158" t="s">
        <v>57</v>
      </c>
      <c r="R48" s="158">
        <v>0</v>
      </c>
      <c r="S48" s="210"/>
    </row>
    <row r="49" spans="2:19" s="184" customFormat="1" ht="15.75" customHeight="1" x14ac:dyDescent="0.2">
      <c r="B49" s="213" t="s">
        <v>190</v>
      </c>
      <c r="C49" s="210" t="s">
        <v>57</v>
      </c>
      <c r="D49" s="210" t="s">
        <v>57</v>
      </c>
      <c r="E49" s="210" t="s">
        <v>57</v>
      </c>
      <c r="F49" s="210" t="s">
        <v>57</v>
      </c>
      <c r="G49" s="210" t="s">
        <v>57</v>
      </c>
      <c r="H49" s="210" t="s">
        <v>57</v>
      </c>
      <c r="I49" s="210" t="s">
        <v>57</v>
      </c>
      <c r="J49" s="210" t="s">
        <v>57</v>
      </c>
      <c r="K49" s="158" t="s">
        <v>57</v>
      </c>
      <c r="L49" s="158" t="s">
        <v>57</v>
      </c>
      <c r="M49" s="158" t="s">
        <v>57</v>
      </c>
      <c r="N49" s="158">
        <v>0</v>
      </c>
      <c r="O49" s="158">
        <v>0.21199999999999999</v>
      </c>
      <c r="P49" s="158" t="s">
        <v>57</v>
      </c>
      <c r="Q49" s="158">
        <v>0.1</v>
      </c>
      <c r="R49" s="158">
        <v>7.8E-2</v>
      </c>
      <c r="S49" s="210"/>
    </row>
    <row r="50" spans="2:19" s="184" customFormat="1" ht="15.75" customHeight="1" x14ac:dyDescent="0.2">
      <c r="B50" s="189" t="s">
        <v>188</v>
      </c>
      <c r="C50" s="158" t="s">
        <v>57</v>
      </c>
      <c r="D50" s="158" t="s">
        <v>57</v>
      </c>
      <c r="E50" s="158" t="s">
        <v>57</v>
      </c>
      <c r="F50" s="158">
        <v>-111.68</v>
      </c>
      <c r="G50" s="162" t="s">
        <v>57</v>
      </c>
      <c r="H50" s="158">
        <v>1.629</v>
      </c>
      <c r="I50" s="162" t="s">
        <v>57</v>
      </c>
      <c r="J50" s="162" t="s">
        <v>57</v>
      </c>
      <c r="K50" s="162" t="s">
        <v>57</v>
      </c>
      <c r="L50" s="162" t="s">
        <v>57</v>
      </c>
      <c r="M50" s="162" t="s">
        <v>57</v>
      </c>
      <c r="N50" s="158">
        <v>-58.4</v>
      </c>
      <c r="O50" s="162" t="s">
        <v>57</v>
      </c>
      <c r="P50" s="158" t="s">
        <v>57</v>
      </c>
      <c r="Q50" s="162" t="s">
        <v>57</v>
      </c>
      <c r="R50" s="158">
        <v>-26.344000000000001</v>
      </c>
      <c r="S50" s="212"/>
    </row>
    <row r="51" spans="2:19" s="184" customFormat="1" ht="15.75" customHeight="1" x14ac:dyDescent="0.2">
      <c r="B51" s="189" t="s">
        <v>127</v>
      </c>
      <c r="C51" s="158">
        <v>-0.91369599999999995</v>
      </c>
      <c r="D51" s="158">
        <v>-1.597</v>
      </c>
      <c r="E51" s="158">
        <v>-4.7145669999999997</v>
      </c>
      <c r="F51" s="158">
        <v>-2.911</v>
      </c>
      <c r="G51" s="158">
        <v>-4.2060000000000004</v>
      </c>
      <c r="H51" s="158">
        <v>-4.266</v>
      </c>
      <c r="I51" s="158">
        <v>-5.9</v>
      </c>
      <c r="J51" s="158">
        <v>-4.5</v>
      </c>
      <c r="K51" s="158">
        <v>-2.6</v>
      </c>
      <c r="L51" s="158">
        <v>-5</v>
      </c>
      <c r="M51" s="158">
        <v>-0.52400000000000002</v>
      </c>
      <c r="N51" s="158">
        <v>-1</v>
      </c>
      <c r="O51" s="158">
        <v>-0.93700000000000006</v>
      </c>
      <c r="P51" s="158">
        <v>-0.50800000000000001</v>
      </c>
      <c r="Q51" s="158">
        <v>-2.2570000000000001</v>
      </c>
      <c r="R51" s="158">
        <v>-2.4750000000000001</v>
      </c>
    </row>
    <row r="52" spans="2:19" s="184" customFormat="1" ht="6.75" customHeight="1" x14ac:dyDescent="0.2">
      <c r="B52" s="189"/>
      <c r="C52" s="189"/>
      <c r="D52" s="189"/>
      <c r="E52" s="158"/>
      <c r="F52" s="158"/>
      <c r="G52" s="158"/>
      <c r="H52" s="158"/>
      <c r="I52" s="158"/>
      <c r="J52" s="158"/>
      <c r="K52" s="158"/>
      <c r="L52" s="158"/>
      <c r="M52" s="158"/>
      <c r="N52" s="158"/>
      <c r="O52" s="158"/>
      <c r="P52" s="158"/>
      <c r="Q52" s="165"/>
      <c r="R52" s="165"/>
    </row>
    <row r="53" spans="2:19" s="188" customFormat="1" ht="15" customHeight="1" x14ac:dyDescent="0.2">
      <c r="B53" s="114" t="s">
        <v>128</v>
      </c>
      <c r="C53" s="157">
        <f>SUM(C46:C51)</f>
        <v>-6.2011190000000012</v>
      </c>
      <c r="D53" s="63">
        <v>-6.2370000000000001</v>
      </c>
      <c r="E53" s="63">
        <v>-9.8425359999999991</v>
      </c>
      <c r="F53" s="63">
        <v>-120.946</v>
      </c>
      <c r="G53" s="63">
        <v>-15.824999999999999</v>
      </c>
      <c r="H53" s="63">
        <f>SUM(H46:H51)</f>
        <v>-13.034000000000001</v>
      </c>
      <c r="I53" s="63">
        <f>SUM(I46:I51)</f>
        <v>-20.8</v>
      </c>
      <c r="J53" s="63">
        <v>-44.3</v>
      </c>
      <c r="K53" s="63">
        <v>-40</v>
      </c>
      <c r="L53" s="63">
        <f t="shared" ref="L53:R53" si="0">SUM(L46:L51)</f>
        <v>-18.100000000000001</v>
      </c>
      <c r="M53" s="63">
        <f t="shared" si="0"/>
        <v>-14.542000000000002</v>
      </c>
      <c r="N53" s="63">
        <f t="shared" si="0"/>
        <v>-81.400000000000006</v>
      </c>
      <c r="O53" s="63">
        <f t="shared" si="0"/>
        <v>-16.569000000000003</v>
      </c>
      <c r="P53" s="63">
        <f t="shared" si="0"/>
        <v>-10.57</v>
      </c>
      <c r="Q53" s="63">
        <f t="shared" si="0"/>
        <v>-19.478000000000002</v>
      </c>
      <c r="R53" s="63">
        <f t="shared" si="0"/>
        <v>-57.447000000000003</v>
      </c>
    </row>
    <row r="54" spans="2:19" s="184" customFormat="1" x14ac:dyDescent="0.2">
      <c r="E54" s="58"/>
      <c r="F54" s="58"/>
      <c r="G54" s="58"/>
      <c r="H54" s="58"/>
      <c r="I54" s="58"/>
      <c r="J54" s="58"/>
      <c r="K54" s="58"/>
      <c r="L54" s="58"/>
      <c r="M54" s="58"/>
      <c r="N54" s="58"/>
      <c r="O54" s="58"/>
      <c r="P54" s="58"/>
      <c r="Q54" s="58"/>
      <c r="R54" s="58"/>
    </row>
    <row r="55" spans="2:19" s="184" customFormat="1" x14ac:dyDescent="0.2">
      <c r="B55" s="187" t="s">
        <v>129</v>
      </c>
      <c r="C55" s="187"/>
      <c r="D55" s="187"/>
      <c r="E55" s="65"/>
      <c r="F55" s="65"/>
      <c r="G55" s="65"/>
      <c r="H55" s="65"/>
      <c r="I55" s="65"/>
      <c r="J55" s="65"/>
      <c r="K55" s="65"/>
      <c r="L55" s="65"/>
      <c r="M55" s="65"/>
      <c r="N55" s="65"/>
      <c r="O55" s="65"/>
      <c r="P55" s="58"/>
      <c r="Q55" s="58"/>
      <c r="R55" s="58"/>
    </row>
    <row r="56" spans="2:19" s="153" customFormat="1" ht="15" customHeight="1" x14ac:dyDescent="0.2">
      <c r="B56" s="153" t="s">
        <v>130</v>
      </c>
      <c r="C56" s="168" t="s">
        <v>57</v>
      </c>
      <c r="D56" s="168" t="s">
        <v>57</v>
      </c>
      <c r="E56" s="168" t="s">
        <v>57</v>
      </c>
      <c r="F56" s="168">
        <v>168.62299999999999</v>
      </c>
      <c r="G56" s="168">
        <v>107</v>
      </c>
      <c r="H56" s="158">
        <v>134.971</v>
      </c>
      <c r="I56" s="158">
        <v>0</v>
      </c>
      <c r="J56" s="158">
        <v>5</v>
      </c>
      <c r="K56" s="158">
        <v>2.7</v>
      </c>
      <c r="L56" s="158">
        <v>150</v>
      </c>
      <c r="M56" s="158">
        <v>127.02</v>
      </c>
      <c r="N56" s="158">
        <v>42.7</v>
      </c>
      <c r="O56" s="158">
        <v>60.404000000000003</v>
      </c>
      <c r="P56" s="158">
        <v>2.7280000000000002</v>
      </c>
      <c r="Q56" s="158">
        <v>34.941000000000003</v>
      </c>
      <c r="R56" s="158">
        <v>61.261000000000003</v>
      </c>
    </row>
    <row r="57" spans="2:19" s="153" customFormat="1" ht="15" customHeight="1" x14ac:dyDescent="0.2">
      <c r="B57" s="153" t="s">
        <v>131</v>
      </c>
      <c r="C57" s="168">
        <v>-15</v>
      </c>
      <c r="D57" s="168">
        <v>-10</v>
      </c>
      <c r="E57" s="168">
        <v>-10.456799999999999</v>
      </c>
      <c r="F57" s="168">
        <v>-5</v>
      </c>
      <c r="G57" s="168">
        <v>-210</v>
      </c>
      <c r="H57" s="158">
        <v>-10</v>
      </c>
      <c r="I57" s="158">
        <v>0</v>
      </c>
      <c r="J57" s="158">
        <v>0</v>
      </c>
      <c r="K57" s="158">
        <v>-50.5</v>
      </c>
      <c r="L57" s="158">
        <v>-167.2</v>
      </c>
      <c r="M57" s="158">
        <v>-128.63499999999999</v>
      </c>
      <c r="N57" s="158">
        <v>-79.8</v>
      </c>
      <c r="O57" s="158">
        <v>-61.194000000000003</v>
      </c>
      <c r="P57" s="158">
        <v>-222.279</v>
      </c>
      <c r="Q57" s="158">
        <v>-1.266</v>
      </c>
      <c r="R57" s="158">
        <v>-17.818999999999999</v>
      </c>
    </row>
    <row r="58" spans="2:19" s="153" customFormat="1" ht="15" customHeight="1" x14ac:dyDescent="0.2">
      <c r="B58" s="18" t="s">
        <v>145</v>
      </c>
      <c r="C58" s="168">
        <v>-5.0474439999999996</v>
      </c>
      <c r="D58" s="168">
        <v>-4.6879999999999997</v>
      </c>
      <c r="E58" s="168">
        <v>-5.1109210000000003</v>
      </c>
      <c r="F58" s="168">
        <v>-5.2629999999999999</v>
      </c>
      <c r="G58" s="168">
        <v>-11.679</v>
      </c>
      <c r="H58" s="158" t="s">
        <v>57</v>
      </c>
      <c r="I58" s="158" t="s">
        <v>57</v>
      </c>
      <c r="J58" s="158" t="s">
        <v>57</v>
      </c>
      <c r="K58" s="158" t="s">
        <v>57</v>
      </c>
      <c r="L58" s="158" t="s">
        <v>57</v>
      </c>
      <c r="M58" s="158" t="s">
        <v>57</v>
      </c>
      <c r="N58" s="158" t="s">
        <v>57</v>
      </c>
      <c r="O58" s="158" t="s">
        <v>57</v>
      </c>
      <c r="P58" s="158" t="s">
        <v>57</v>
      </c>
      <c r="Q58" s="158" t="s">
        <v>57</v>
      </c>
      <c r="R58" s="158" t="s">
        <v>57</v>
      </c>
    </row>
    <row r="59" spans="2:19" s="153" customFormat="1" ht="15" customHeight="1" x14ac:dyDescent="0.2">
      <c r="B59" s="153" t="s">
        <v>132</v>
      </c>
      <c r="C59" s="168">
        <v>3.8995000000000002E-2</v>
      </c>
      <c r="D59" s="168">
        <v>1.2999999999999999E-2</v>
      </c>
      <c r="E59" s="168" t="s">
        <v>57</v>
      </c>
      <c r="F59" s="168" t="s">
        <v>57</v>
      </c>
      <c r="G59" s="168">
        <v>-17.489000000000001</v>
      </c>
      <c r="H59" s="158">
        <v>0</v>
      </c>
      <c r="I59" s="158">
        <v>0</v>
      </c>
      <c r="J59" s="158">
        <v>0</v>
      </c>
      <c r="K59" s="158">
        <v>0.6</v>
      </c>
      <c r="L59" s="158">
        <v>3.8</v>
      </c>
      <c r="M59" s="158">
        <v>0</v>
      </c>
      <c r="N59" s="158">
        <v>44.3</v>
      </c>
      <c r="O59" s="158" t="s">
        <v>57</v>
      </c>
      <c r="P59" s="158">
        <v>269.964</v>
      </c>
      <c r="Q59" s="158" t="s">
        <v>57</v>
      </c>
      <c r="R59" s="158" t="s">
        <v>57</v>
      </c>
    </row>
    <row r="60" spans="2:19" s="153" customFormat="1" ht="15" customHeight="1" x14ac:dyDescent="0.2">
      <c r="B60" s="153" t="s">
        <v>133</v>
      </c>
      <c r="C60" s="172">
        <v>-0.556612</v>
      </c>
      <c r="D60" s="172">
        <v>-0.58899999999999997</v>
      </c>
      <c r="E60" s="172">
        <v>-1.1206039999999999</v>
      </c>
      <c r="F60" s="173" t="s">
        <v>57</v>
      </c>
      <c r="G60" s="173" t="s">
        <v>57</v>
      </c>
      <c r="H60" s="158" t="s">
        <v>57</v>
      </c>
      <c r="I60" s="158" t="s">
        <v>57</v>
      </c>
      <c r="J60" s="158" t="s">
        <v>57</v>
      </c>
      <c r="K60" s="158" t="s">
        <v>57</v>
      </c>
      <c r="L60" s="158" t="s">
        <v>57</v>
      </c>
      <c r="M60" s="158" t="s">
        <v>57</v>
      </c>
      <c r="N60" s="158">
        <v>-0.2</v>
      </c>
      <c r="O60" s="158">
        <v>-0.45500000000000002</v>
      </c>
      <c r="P60" s="158">
        <v>-1.3680000000000001</v>
      </c>
      <c r="Q60" s="158">
        <v>-1.4450000000000001</v>
      </c>
      <c r="R60" s="158">
        <v>-25.852</v>
      </c>
    </row>
    <row r="61" spans="2:19" s="153" customFormat="1" ht="15" customHeight="1" x14ac:dyDescent="0.2">
      <c r="B61" s="114" t="s">
        <v>134</v>
      </c>
      <c r="C61" s="157">
        <f>SUM(C57:C60)</f>
        <v>-20.565061</v>
      </c>
      <c r="D61" s="157">
        <f>SUM(D57:D60)</f>
        <v>-15.263999999999999</v>
      </c>
      <c r="E61" s="63">
        <v>-16.688324999999999</v>
      </c>
      <c r="F61" s="63">
        <v>158.36000000000001</v>
      </c>
      <c r="G61" s="63">
        <v>-97.19</v>
      </c>
      <c r="H61" s="63">
        <v>124.971</v>
      </c>
      <c r="I61" s="63">
        <v>0</v>
      </c>
      <c r="J61" s="63">
        <v>5</v>
      </c>
      <c r="K61" s="63">
        <v>-47.2</v>
      </c>
      <c r="L61" s="63">
        <v>-13.399999999999988</v>
      </c>
      <c r="M61" s="63">
        <v>-1.6149999999999949</v>
      </c>
      <c r="N61" s="63">
        <v>7.0000000000000027</v>
      </c>
      <c r="O61" s="63">
        <v>-1.2449999999999992</v>
      </c>
      <c r="P61" s="63">
        <v>49.045000000000009</v>
      </c>
      <c r="Q61" s="63">
        <v>32.230000000000004</v>
      </c>
      <c r="R61" s="63">
        <v>17.590000000000007</v>
      </c>
    </row>
    <row r="62" spans="2:19" s="184" customFormat="1" x14ac:dyDescent="0.2">
      <c r="E62" s="58"/>
      <c r="F62" s="58"/>
      <c r="G62" s="58"/>
      <c r="H62" s="210"/>
      <c r="I62" s="210"/>
      <c r="J62" s="210"/>
      <c r="K62" s="210"/>
      <c r="L62" s="210"/>
      <c r="M62" s="210"/>
      <c r="N62" s="210"/>
      <c r="O62" s="210"/>
      <c r="P62" s="210"/>
      <c r="Q62" s="210"/>
      <c r="R62" s="210"/>
    </row>
    <row r="63" spans="2:19" s="153" customFormat="1" ht="15" customHeight="1" x14ac:dyDescent="0.2">
      <c r="B63" s="114" t="s">
        <v>135</v>
      </c>
      <c r="C63" s="63">
        <f>C43+C53+C61</f>
        <v>-5.6578338477502292</v>
      </c>
      <c r="D63" s="63">
        <v>-25.109000000000002</v>
      </c>
      <c r="E63" s="63">
        <v>-16.41560068150002</v>
      </c>
      <c r="F63" s="63">
        <v>54.41</v>
      </c>
      <c r="G63" s="63">
        <v>-75.114999999999995</v>
      </c>
      <c r="H63" s="63">
        <v>87.622</v>
      </c>
      <c r="I63" s="63">
        <v>-57.2</v>
      </c>
      <c r="J63" s="63">
        <v>-4.3</v>
      </c>
      <c r="K63" s="63">
        <v>4.3999999999999986</v>
      </c>
      <c r="L63" s="63">
        <v>-19.79999999999999</v>
      </c>
      <c r="M63" s="63">
        <v>9.8249999999999957</v>
      </c>
      <c r="N63" s="63">
        <v>-33.300000000000011</v>
      </c>
      <c r="O63" s="63">
        <v>21.365999999999978</v>
      </c>
      <c r="P63" s="63">
        <v>56.345000000000013</v>
      </c>
      <c r="Q63" s="63">
        <v>13.693999999999974</v>
      </c>
      <c r="R63" s="63">
        <v>15.123000000000015</v>
      </c>
    </row>
    <row r="64" spans="2:19" s="184" customFormat="1" x14ac:dyDescent="0.2">
      <c r="D64" s="58"/>
      <c r="E64" s="58"/>
      <c r="F64" s="58"/>
      <c r="G64" s="58"/>
      <c r="H64" s="210"/>
      <c r="I64" s="210"/>
      <c r="J64" s="210"/>
      <c r="K64" s="210"/>
      <c r="L64" s="210"/>
      <c r="M64" s="210"/>
      <c r="N64" s="210"/>
      <c r="O64" s="210"/>
      <c r="P64" s="210"/>
      <c r="Q64" s="210"/>
      <c r="R64" s="210"/>
    </row>
    <row r="65" spans="2:18" s="184" customFormat="1" x14ac:dyDescent="0.2">
      <c r="B65" s="114" t="s">
        <v>136</v>
      </c>
      <c r="C65" s="63">
        <v>-0.82513800000000004</v>
      </c>
      <c r="D65" s="63">
        <v>4.7809999999999997</v>
      </c>
      <c r="E65" s="63">
        <v>1.6779999999999999</v>
      </c>
      <c r="F65" s="63">
        <v>-1.345</v>
      </c>
      <c r="G65" s="63">
        <v>0.72499999999999998</v>
      </c>
      <c r="H65" s="63">
        <v>0.47699999999999998</v>
      </c>
      <c r="I65" s="63">
        <v>-4.5999999999999996</v>
      </c>
      <c r="J65" s="63">
        <v>-1.2</v>
      </c>
      <c r="K65" s="63">
        <v>4.5999999999999996</v>
      </c>
      <c r="L65" s="63">
        <v>-2.5</v>
      </c>
      <c r="M65" s="63">
        <v>2.7050000000000001</v>
      </c>
      <c r="N65" s="63">
        <v>2.4</v>
      </c>
      <c r="O65" s="63">
        <v>-6.6890000000000001</v>
      </c>
      <c r="P65" s="63">
        <v>8.4979999999999993</v>
      </c>
      <c r="Q65" s="63">
        <v>-3.52</v>
      </c>
      <c r="R65" s="63">
        <v>-1.4119999999999999</v>
      </c>
    </row>
    <row r="66" spans="2:18" s="153" customFormat="1" x14ac:dyDescent="0.2">
      <c r="B66" s="184"/>
      <c r="C66" s="184"/>
      <c r="D66" s="58"/>
      <c r="E66" s="58"/>
      <c r="F66" s="58"/>
      <c r="G66" s="58"/>
      <c r="H66" s="210"/>
      <c r="I66" s="210"/>
      <c r="J66" s="210"/>
      <c r="K66" s="210"/>
      <c r="L66" s="210"/>
      <c r="M66" s="210"/>
      <c r="N66" s="210"/>
      <c r="O66" s="210"/>
      <c r="P66" s="210"/>
      <c r="Q66" s="210"/>
      <c r="R66" s="210"/>
    </row>
    <row r="67" spans="2:18" s="184" customFormat="1" x14ac:dyDescent="0.2">
      <c r="D67" s="58"/>
      <c r="E67" s="58"/>
      <c r="F67" s="58"/>
      <c r="G67" s="58"/>
      <c r="H67" s="58"/>
      <c r="I67" s="58"/>
      <c r="J67" s="58"/>
      <c r="K67" s="58"/>
      <c r="L67" s="58"/>
      <c r="M67" s="58"/>
      <c r="N67" s="58"/>
      <c r="O67" s="58"/>
      <c r="P67" s="58"/>
      <c r="Q67" s="58"/>
      <c r="R67" s="58"/>
    </row>
    <row r="68" spans="2:18" s="184" customFormat="1" ht="25.5" x14ac:dyDescent="0.2">
      <c r="B68" s="117" t="s">
        <v>137</v>
      </c>
      <c r="C68" s="157">
        <f>C19+C63+C65</f>
        <v>71.226628152249774</v>
      </c>
      <c r="D68" s="157">
        <v>78.674000000000007</v>
      </c>
      <c r="E68" s="157">
        <v>71.228799318499966</v>
      </c>
      <c r="F68" s="157">
        <v>106.98</v>
      </c>
      <c r="G68" s="157">
        <v>100.578</v>
      </c>
      <c r="H68" s="157">
        <v>108.941</v>
      </c>
      <c r="I68" s="157">
        <v>37.200000000000003</v>
      </c>
      <c r="J68" s="157">
        <v>42.1</v>
      </c>
      <c r="K68" s="157">
        <v>48.5</v>
      </c>
      <c r="L68" s="157">
        <v>47.4</v>
      </c>
      <c r="M68" s="157">
        <v>58.152999999999992</v>
      </c>
      <c r="N68" s="157">
        <v>45.599999999999987</v>
      </c>
      <c r="O68" s="157">
        <v>87.171999999999997</v>
      </c>
      <c r="P68" s="157">
        <v>43.924000000000014</v>
      </c>
      <c r="Q68" s="157">
        <v>-10.268000000000026</v>
      </c>
      <c r="R68" s="157">
        <v>-14.757999999999985</v>
      </c>
    </row>
    <row r="71" spans="2:18" x14ac:dyDescent="0.2">
      <c r="B71" t="s">
        <v>308</v>
      </c>
    </row>
  </sheetData>
  <printOptions horizontalCentered="1"/>
  <pageMargins left="0.74803149606299213" right="0.74803149606299213" top="0.98425196850393704" bottom="0.98425196850393704" header="0.51181102362204722" footer="0.51181102362204722"/>
  <pageSetup paperSize="8" scale="48" orientation="landscape" r:id="rId1"/>
  <headerFooter alignWithMargins="0"/>
  <ignoredErrors>
    <ignoredError sqref="J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985F-1C5F-4ED4-B9DC-FD0766607216}">
  <sheetPr>
    <pageSetUpPr fitToPage="1"/>
  </sheetPr>
  <dimension ref="A1:S19"/>
  <sheetViews>
    <sheetView showGridLines="0" tabSelected="1" zoomScaleNormal="100" zoomScaleSheetLayoutView="115" workbookViewId="0">
      <selection activeCell="E26" sqref="E26"/>
    </sheetView>
  </sheetViews>
  <sheetFormatPr defaultRowHeight="12.75" x14ac:dyDescent="0.2"/>
  <cols>
    <col min="1" max="1" width="3.5703125" customWidth="1"/>
    <col min="2" max="2" width="33.85546875" customWidth="1"/>
    <col min="3" max="5" width="16.42578125" customWidth="1"/>
    <col min="6" max="6" width="16.5703125" customWidth="1"/>
    <col min="7" max="7" width="16.42578125" style="74" customWidth="1"/>
    <col min="8" max="9" width="16.28515625" style="74" customWidth="1"/>
    <col min="10" max="10" width="16.140625" style="74" customWidth="1"/>
    <col min="11" max="11" width="16.28515625" style="74" customWidth="1"/>
    <col min="12" max="18" width="16.140625" style="74" customWidth="1"/>
  </cols>
  <sheetData>
    <row r="1" spans="1:19" ht="26.25" x14ac:dyDescent="0.4">
      <c r="B1" s="2" t="s">
        <v>146</v>
      </c>
      <c r="C1" s="2"/>
      <c r="D1" s="2"/>
      <c r="E1" s="2"/>
      <c r="F1" s="2"/>
      <c r="G1" s="80"/>
      <c r="H1" s="80"/>
      <c r="I1" s="80"/>
      <c r="J1" s="80"/>
      <c r="K1" s="80"/>
    </row>
    <row r="2" spans="1:19" x14ac:dyDescent="0.2">
      <c r="B2" s="5"/>
      <c r="C2" s="5"/>
      <c r="D2" s="5"/>
      <c r="E2" s="5"/>
      <c r="F2" s="5"/>
      <c r="G2" s="81"/>
      <c r="H2" s="81"/>
      <c r="I2" s="81"/>
    </row>
    <row r="3" spans="1:19" ht="13.5" thickBot="1" x14ac:dyDescent="0.25">
      <c r="G3" s="26"/>
    </row>
    <row r="4" spans="1:19" s="8" customFormat="1" ht="25.5" customHeight="1" thickBot="1" x14ac:dyDescent="0.25">
      <c r="B4" s="482"/>
      <c r="C4" s="483">
        <v>2023</v>
      </c>
      <c r="D4" s="483">
        <v>2022</v>
      </c>
      <c r="E4" s="483">
        <v>2021</v>
      </c>
      <c r="F4" s="483">
        <v>2020</v>
      </c>
      <c r="G4" s="483" t="s">
        <v>56</v>
      </c>
      <c r="H4" s="483">
        <v>2018</v>
      </c>
      <c r="I4" s="483">
        <v>2017</v>
      </c>
      <c r="J4" s="483">
        <v>2016</v>
      </c>
      <c r="K4" s="483">
        <v>2015</v>
      </c>
      <c r="L4" s="483">
        <v>2014</v>
      </c>
      <c r="M4" s="483" t="s">
        <v>8</v>
      </c>
      <c r="N4" s="483" t="s">
        <v>7</v>
      </c>
      <c r="O4" s="483" t="s">
        <v>6</v>
      </c>
      <c r="P4" s="483" t="s">
        <v>5</v>
      </c>
      <c r="Q4" s="483" t="s">
        <v>2</v>
      </c>
      <c r="R4" s="483" t="s">
        <v>3</v>
      </c>
      <c r="S4" s="483"/>
    </row>
    <row r="5" spans="1:19" ht="18" customHeight="1" x14ac:dyDescent="0.2">
      <c r="B5" s="12" t="s">
        <v>34</v>
      </c>
      <c r="C5" s="478">
        <f>C9*23.5%</f>
        <v>899.57999999999993</v>
      </c>
      <c r="D5" s="213">
        <v>883</v>
      </c>
      <c r="E5" s="213">
        <v>867</v>
      </c>
      <c r="F5" s="174">
        <v>903</v>
      </c>
      <c r="G5" s="174">
        <v>996</v>
      </c>
      <c r="H5" s="174">
        <v>1054</v>
      </c>
      <c r="I5" s="174">
        <v>1131</v>
      </c>
      <c r="J5" s="174">
        <v>1065</v>
      </c>
      <c r="K5" s="174">
        <v>1040</v>
      </c>
      <c r="L5" s="174">
        <v>1021</v>
      </c>
      <c r="M5" s="174">
        <v>991</v>
      </c>
      <c r="N5" s="174">
        <v>948</v>
      </c>
      <c r="O5" s="174">
        <v>944</v>
      </c>
      <c r="P5" s="174">
        <v>896</v>
      </c>
      <c r="Q5" s="174">
        <v>872</v>
      </c>
      <c r="R5" s="174">
        <v>872</v>
      </c>
    </row>
    <row r="6" spans="1:19" ht="18" customHeight="1" x14ac:dyDescent="0.2">
      <c r="B6" s="12" t="s">
        <v>35</v>
      </c>
      <c r="C6" s="478">
        <f>C9*41.5%</f>
        <v>1588.62</v>
      </c>
      <c r="D6" s="478">
        <v>2224</v>
      </c>
      <c r="E6" s="478">
        <v>2395</v>
      </c>
      <c r="F6" s="174">
        <v>3000</v>
      </c>
      <c r="G6" s="174">
        <v>3607</v>
      </c>
      <c r="H6" s="174">
        <v>3706</v>
      </c>
      <c r="I6" s="174">
        <v>3910</v>
      </c>
      <c r="J6" s="174">
        <v>4117</v>
      </c>
      <c r="K6" s="174">
        <v>4141</v>
      </c>
      <c r="L6" s="174">
        <v>4158</v>
      </c>
      <c r="M6" s="174">
        <v>4753</v>
      </c>
      <c r="N6" s="174">
        <v>4571</v>
      </c>
      <c r="O6" s="174">
        <v>5099</v>
      </c>
      <c r="P6" s="174">
        <v>5195</v>
      </c>
      <c r="Q6" s="174">
        <v>4909</v>
      </c>
      <c r="R6" s="174">
        <v>4909</v>
      </c>
    </row>
    <row r="7" spans="1:19" ht="18" customHeight="1" x14ac:dyDescent="0.2">
      <c r="B7" s="12" t="s">
        <v>36</v>
      </c>
      <c r="C7" s="479">
        <f>C9-C5-C6</f>
        <v>1339.8000000000002</v>
      </c>
      <c r="D7" s="479">
        <v>1335</v>
      </c>
      <c r="E7" s="479">
        <v>1283</v>
      </c>
      <c r="F7" s="174">
        <v>1312</v>
      </c>
      <c r="G7" s="174">
        <v>1151</v>
      </c>
      <c r="H7" s="174">
        <v>1239</v>
      </c>
      <c r="I7" s="174">
        <v>1335</v>
      </c>
      <c r="J7" s="174">
        <v>1141</v>
      </c>
      <c r="K7" s="174">
        <v>1319</v>
      </c>
      <c r="L7" s="174">
        <v>1423</v>
      </c>
      <c r="M7" s="174">
        <v>1402</v>
      </c>
      <c r="N7" s="174">
        <v>1393</v>
      </c>
      <c r="O7" s="174">
        <v>1244</v>
      </c>
      <c r="P7" s="174">
        <v>1174</v>
      </c>
      <c r="Q7" s="174">
        <v>1235</v>
      </c>
      <c r="R7" s="174">
        <v>1235</v>
      </c>
    </row>
    <row r="8" spans="1:19" ht="18" customHeight="1" x14ac:dyDescent="0.2">
      <c r="B8" t="s">
        <v>4</v>
      </c>
      <c r="C8" s="480">
        <f>D8</f>
        <v>0</v>
      </c>
      <c r="D8" s="174">
        <v>0</v>
      </c>
      <c r="E8" s="174">
        <v>0</v>
      </c>
      <c r="F8" s="174">
        <v>0</v>
      </c>
      <c r="G8" s="174">
        <v>0</v>
      </c>
      <c r="H8" s="174">
        <v>595</v>
      </c>
      <c r="I8" s="174">
        <v>733</v>
      </c>
      <c r="J8" s="174">
        <v>805</v>
      </c>
      <c r="K8" s="174">
        <v>825</v>
      </c>
      <c r="L8" s="174">
        <v>912</v>
      </c>
      <c r="M8" s="174">
        <v>907</v>
      </c>
      <c r="N8" s="174">
        <v>855</v>
      </c>
      <c r="O8" s="174">
        <v>821</v>
      </c>
      <c r="P8" s="174">
        <v>883</v>
      </c>
      <c r="Q8" s="174">
        <v>1788</v>
      </c>
      <c r="R8" s="174">
        <v>1788</v>
      </c>
    </row>
    <row r="9" spans="1:19" ht="18" customHeight="1" x14ac:dyDescent="0.2">
      <c r="B9" s="17" t="s">
        <v>37</v>
      </c>
      <c r="C9" s="481">
        <v>3828</v>
      </c>
      <c r="D9" s="175">
        <f>SUM(D5:D7)</f>
        <v>4442</v>
      </c>
      <c r="E9" s="175">
        <f>SUM(E5:E7)</f>
        <v>4545</v>
      </c>
      <c r="F9" s="175">
        <v>5215</v>
      </c>
      <c r="G9" s="175">
        <f>SUM(G5:G8)</f>
        <v>5754</v>
      </c>
      <c r="H9" s="175">
        <f>SUM(H5:H8)</f>
        <v>6594</v>
      </c>
      <c r="I9" s="175">
        <f>I5+I6+I7+I8</f>
        <v>7109</v>
      </c>
      <c r="J9" s="175">
        <v>7128</v>
      </c>
      <c r="K9" s="175">
        <f>SUM(K5:K8)</f>
        <v>7325</v>
      </c>
      <c r="L9" s="175">
        <v>7514</v>
      </c>
      <c r="M9" s="175">
        <v>8053</v>
      </c>
      <c r="N9" s="175">
        <v>7767</v>
      </c>
      <c r="O9" s="175">
        <v>8108</v>
      </c>
      <c r="P9" s="175">
        <v>8148</v>
      </c>
      <c r="Q9" s="175">
        <v>8804</v>
      </c>
      <c r="R9" s="175">
        <v>8804</v>
      </c>
    </row>
    <row r="10" spans="1:19" x14ac:dyDescent="0.2">
      <c r="B10" s="11"/>
      <c r="C10" s="11"/>
      <c r="D10" s="11"/>
      <c r="E10" s="11"/>
      <c r="F10" s="11"/>
      <c r="G10" s="101"/>
      <c r="H10" s="102"/>
      <c r="I10" s="102"/>
      <c r="J10" s="103"/>
      <c r="K10" s="103"/>
    </row>
    <row r="11" spans="1:19" x14ac:dyDescent="0.2">
      <c r="B11" s="11"/>
      <c r="C11" s="11"/>
      <c r="D11" s="11"/>
      <c r="E11" s="11"/>
      <c r="F11" s="11"/>
      <c r="G11" s="101"/>
      <c r="H11" s="102"/>
      <c r="I11" s="102"/>
      <c r="J11" s="103"/>
      <c r="K11" s="103"/>
    </row>
    <row r="12" spans="1:19" ht="39.75" customHeight="1" x14ac:dyDescent="0.2">
      <c r="B12" s="447"/>
      <c r="C12" s="447"/>
      <c r="D12" s="447"/>
      <c r="E12" s="447"/>
      <c r="F12" s="447"/>
      <c r="G12" s="447"/>
      <c r="H12" s="447"/>
      <c r="I12" s="447"/>
      <c r="J12" s="447"/>
      <c r="K12" s="447"/>
    </row>
    <row r="13" spans="1:19" x14ac:dyDescent="0.2">
      <c r="B13" s="447"/>
      <c r="C13" s="447"/>
      <c r="D13" s="447"/>
      <c r="E13" s="447"/>
      <c r="F13" s="447"/>
      <c r="G13" s="447"/>
      <c r="H13" s="447"/>
      <c r="I13" s="447"/>
      <c r="J13" s="447"/>
      <c r="K13" s="447"/>
    </row>
    <row r="15" spans="1:19" x14ac:dyDescent="0.2">
      <c r="A15" s="12"/>
      <c r="B15" s="13"/>
      <c r="C15" s="13"/>
      <c r="D15" s="478"/>
      <c r="E15" s="13"/>
      <c r="F15" s="13"/>
      <c r="G15" s="104"/>
      <c r="H15" s="104"/>
    </row>
    <row r="16" spans="1:19" x14ac:dyDescent="0.2">
      <c r="D16" s="478"/>
    </row>
    <row r="17" spans="4:4" x14ac:dyDescent="0.2">
      <c r="D17" s="479"/>
    </row>
    <row r="18" spans="4:4" x14ac:dyDescent="0.2">
      <c r="D18" s="480"/>
    </row>
    <row r="19" spans="4:4" x14ac:dyDescent="0.2">
      <c r="D19" s="484"/>
    </row>
  </sheetData>
  <mergeCells count="2">
    <mergeCell ref="B12:K12"/>
    <mergeCell ref="B13:K13"/>
  </mergeCells>
  <printOptions horizontalCentered="1"/>
  <pageMargins left="0.74803149606299213" right="0.74803149606299213" top="0.98425196850393704" bottom="0.98425196850393704" header="0.51181102362204722" footer="0.51181102362204722"/>
  <pageSetup paperSize="8" scale="48" orientation="landscape" r:id="rId1"/>
  <headerFooter alignWithMargins="0"/>
  <ignoredErrors>
    <ignoredError sqref="G4 M4:R4" numberStoredAsText="1"/>
    <ignoredError sqref="G9:R9 D9:E9"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7513D-A8D6-4E5E-9375-EC4A1BFDAC28}">
  <dimension ref="A1"/>
  <sheetViews>
    <sheetView workbookViewId="0">
      <selection activeCell="F35" sqref="F35"/>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2</vt:i4>
      </vt:variant>
    </vt:vector>
  </HeadingPairs>
  <TitlesOfParts>
    <vt:vector size="11" baseType="lpstr">
      <vt:lpstr>FY P&amp;L</vt:lpstr>
      <vt:lpstr>H1 P&amp;L</vt:lpstr>
      <vt:lpstr>Quarterly trading updates</vt:lpstr>
      <vt:lpstr>FY Balance Sheet</vt:lpstr>
      <vt:lpstr>H1 Balance Sheet</vt:lpstr>
      <vt:lpstr>FY Cash Flow</vt:lpstr>
      <vt:lpstr>H1 Cash Flow </vt:lpstr>
      <vt:lpstr>N° Employees</vt:lpstr>
      <vt:lpstr>IFRIC SaaS Agenda</vt:lpstr>
      <vt:lpstr>'H1 P&amp;L'!_Hlk78191501</vt:lpstr>
      <vt:lpstr>'Quarterly trading updates'!Area_stampa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Ferrante Barbara</dc:creator>
  <cp:lastModifiedBy>Ferrante Barbara</cp:lastModifiedBy>
  <cp:lastPrinted>2012-03-14T10:24:15Z</cp:lastPrinted>
  <dcterms:created xsi:type="dcterms:W3CDTF">2008-12-12T18:50:06Z</dcterms:created>
  <dcterms:modified xsi:type="dcterms:W3CDTF">2024-03-15T16:27:38Z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